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5300" windowHeight="6024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R36" i="1"/>
  <c r="C36"/>
  <c r="P36" s="1"/>
  <c r="C34"/>
  <c r="P34" s="1"/>
  <c r="C35"/>
  <c r="R35"/>
  <c r="P35" l="1"/>
  <c r="C33" l="1"/>
  <c r="P33" s="1"/>
  <c r="R34" l="1"/>
  <c r="R33" l="1"/>
  <c r="E39"/>
  <c r="E42"/>
  <c r="L42"/>
  <c r="Y3"/>
  <c r="R8"/>
  <c r="R9"/>
  <c r="R10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7"/>
  <c r="Q8"/>
  <c r="Q9"/>
  <c r="Q10"/>
  <c r="Q11"/>
  <c r="Q12"/>
  <c r="Q13"/>
  <c r="Q14"/>
  <c r="Q15"/>
  <c r="Q16"/>
  <c r="Q17"/>
  <c r="Q18"/>
  <c r="Q19"/>
  <c r="Q7"/>
  <c r="C32"/>
  <c r="P32" s="1"/>
  <c r="C31"/>
  <c r="P31" s="1"/>
  <c r="C30"/>
  <c r="P30" s="1"/>
  <c r="C8"/>
  <c r="P8" s="1"/>
  <c r="C9"/>
  <c r="P9" s="1"/>
  <c r="C10"/>
  <c r="P10" s="1"/>
  <c r="S10" s="1"/>
  <c r="C11"/>
  <c r="C12"/>
  <c r="C13"/>
  <c r="P13" s="1"/>
  <c r="S13" s="1"/>
  <c r="C14"/>
  <c r="P14" s="1"/>
  <c r="S14" s="1"/>
  <c r="C15"/>
  <c r="C16"/>
  <c r="P16" s="1"/>
  <c r="C17"/>
  <c r="P17" s="1"/>
  <c r="S17" s="1"/>
  <c r="C18"/>
  <c r="P18" s="1"/>
  <c r="S18" s="1"/>
  <c r="C19"/>
  <c r="P19" s="1"/>
  <c r="S19" s="1"/>
  <c r="C20"/>
  <c r="P20" s="1"/>
  <c r="C21"/>
  <c r="P21" s="1"/>
  <c r="C22"/>
  <c r="P22" s="1"/>
  <c r="C23"/>
  <c r="P23" s="1"/>
  <c r="C24"/>
  <c r="P24" s="1"/>
  <c r="C25"/>
  <c r="P25" s="1"/>
  <c r="C26"/>
  <c r="P26" s="1"/>
  <c r="C27"/>
  <c r="P27" s="1"/>
  <c r="C28"/>
  <c r="P28" s="1"/>
  <c r="C29"/>
  <c r="P29" s="1"/>
  <c r="U16" l="1"/>
  <c r="U8"/>
  <c r="R39"/>
  <c r="S16"/>
  <c r="P42"/>
  <c r="U18"/>
  <c r="R42"/>
  <c r="U14"/>
  <c r="S8"/>
  <c r="U17"/>
  <c r="U13"/>
  <c r="U9"/>
  <c r="S9"/>
  <c r="U10"/>
  <c r="U19"/>
  <c r="C42"/>
  <c r="P15"/>
  <c r="P11"/>
  <c r="P12"/>
  <c r="L40"/>
  <c r="E40"/>
  <c r="C7"/>
  <c r="L3"/>
  <c r="H4"/>
  <c r="E4"/>
  <c r="B4"/>
  <c r="H3"/>
  <c r="D36" l="1"/>
  <c r="L44"/>
  <c r="D35"/>
  <c r="D34"/>
  <c r="D33"/>
  <c r="F35"/>
  <c r="F36"/>
  <c r="J36"/>
  <c r="J35"/>
  <c r="Q35" s="1"/>
  <c r="F34"/>
  <c r="F33"/>
  <c r="J34"/>
  <c r="Q34" s="1"/>
  <c r="J33"/>
  <c r="K33" s="1"/>
  <c r="S11"/>
  <c r="T11" s="1"/>
  <c r="U11"/>
  <c r="V11" s="1"/>
  <c r="U12"/>
  <c r="V12" s="1"/>
  <c r="S12"/>
  <c r="T12" s="1"/>
  <c r="S15"/>
  <c r="T15" s="1"/>
  <c r="U15"/>
  <c r="V15" s="1"/>
  <c r="V8"/>
  <c r="T8"/>
  <c r="V17"/>
  <c r="T17"/>
  <c r="V10"/>
  <c r="T10"/>
  <c r="V13"/>
  <c r="T13"/>
  <c r="V9"/>
  <c r="T9"/>
  <c r="V16"/>
  <c r="T16"/>
  <c r="V18"/>
  <c r="T18"/>
  <c r="V14"/>
  <c r="T14"/>
  <c r="V19"/>
  <c r="T19"/>
  <c r="D9"/>
  <c r="D13"/>
  <c r="D17"/>
  <c r="D21"/>
  <c r="D25"/>
  <c r="D29"/>
  <c r="D7"/>
  <c r="D18"/>
  <c r="D26"/>
  <c r="D8"/>
  <c r="D12"/>
  <c r="D16"/>
  <c r="D20"/>
  <c r="D24"/>
  <c r="D28"/>
  <c r="D32"/>
  <c r="D11"/>
  <c r="D15"/>
  <c r="D19"/>
  <c r="D23"/>
  <c r="D27"/>
  <c r="D31"/>
  <c r="D10"/>
  <c r="D14"/>
  <c r="D22"/>
  <c r="D30"/>
  <c r="K9"/>
  <c r="K13"/>
  <c r="K17"/>
  <c r="K7"/>
  <c r="K10"/>
  <c r="K18"/>
  <c r="K8"/>
  <c r="K12"/>
  <c r="K16"/>
  <c r="K11"/>
  <c r="K15"/>
  <c r="K19"/>
  <c r="Y4"/>
  <c r="K14"/>
  <c r="P7"/>
  <c r="P39" s="1"/>
  <c r="F31"/>
  <c r="F32"/>
  <c r="J31"/>
  <c r="Q31" s="1"/>
  <c r="J32"/>
  <c r="Q32" s="1"/>
  <c r="F8"/>
  <c r="F11"/>
  <c r="F12"/>
  <c r="F15"/>
  <c r="F16"/>
  <c r="F19"/>
  <c r="F20"/>
  <c r="F21"/>
  <c r="F28"/>
  <c r="F29"/>
  <c r="F30"/>
  <c r="F9"/>
  <c r="F10"/>
  <c r="F14"/>
  <c r="F17"/>
  <c r="F26"/>
  <c r="F24"/>
  <c r="F25"/>
  <c r="F22"/>
  <c r="F13"/>
  <c r="F18"/>
  <c r="F27"/>
  <c r="F23"/>
  <c r="J26"/>
  <c r="K26" s="1"/>
  <c r="J27"/>
  <c r="Q27" s="1"/>
  <c r="J24"/>
  <c r="J25"/>
  <c r="Q25" s="1"/>
  <c r="J22"/>
  <c r="K22" s="1"/>
  <c r="J20"/>
  <c r="K20" s="1"/>
  <c r="J29"/>
  <c r="K29" s="1"/>
  <c r="J23"/>
  <c r="Q23" s="1"/>
  <c r="J30"/>
  <c r="Q30" s="1"/>
  <c r="J21"/>
  <c r="Q21" s="1"/>
  <c r="J28"/>
  <c r="K28" s="1"/>
  <c r="F7"/>
  <c r="G34" l="1"/>
  <c r="K35"/>
  <c r="U35"/>
  <c r="V35" s="1"/>
  <c r="S35"/>
  <c r="T35" s="1"/>
  <c r="G35"/>
  <c r="G36"/>
  <c r="K36"/>
  <c r="Q36"/>
  <c r="J39"/>
  <c r="Q33"/>
  <c r="G33"/>
  <c r="N33" s="1"/>
  <c r="S34"/>
  <c r="T34" s="1"/>
  <c r="U34"/>
  <c r="V34" s="1"/>
  <c r="F39"/>
  <c r="K34"/>
  <c r="D39"/>
  <c r="Q24"/>
  <c r="J42"/>
  <c r="S23"/>
  <c r="T23" s="1"/>
  <c r="U23"/>
  <c r="V23" s="1"/>
  <c r="S25"/>
  <c r="T25" s="1"/>
  <c r="U25"/>
  <c r="V25" s="1"/>
  <c r="U31"/>
  <c r="V31" s="1"/>
  <c r="S31"/>
  <c r="T31" s="1"/>
  <c r="U30"/>
  <c r="V30" s="1"/>
  <c r="S30"/>
  <c r="T30" s="1"/>
  <c r="S32"/>
  <c r="T32" s="1"/>
  <c r="U32"/>
  <c r="V32" s="1"/>
  <c r="S7"/>
  <c r="U7"/>
  <c r="S21"/>
  <c r="T21" s="1"/>
  <c r="U21"/>
  <c r="V21" s="1"/>
  <c r="U27"/>
  <c r="V27" s="1"/>
  <c r="S27"/>
  <c r="T27" s="1"/>
  <c r="F42"/>
  <c r="D42"/>
  <c r="G22"/>
  <c r="G20"/>
  <c r="G26"/>
  <c r="N26" s="1"/>
  <c r="G9"/>
  <c r="N9" s="1"/>
  <c r="G15"/>
  <c r="N15" s="1"/>
  <c r="G13"/>
  <c r="N13" s="1"/>
  <c r="G11"/>
  <c r="N11" s="1"/>
  <c r="G25"/>
  <c r="G27"/>
  <c r="G30"/>
  <c r="K31"/>
  <c r="K24"/>
  <c r="K32"/>
  <c r="K30"/>
  <c r="G24"/>
  <c r="G8"/>
  <c r="N8" s="1"/>
  <c r="G29"/>
  <c r="K23"/>
  <c r="K25"/>
  <c r="G10"/>
  <c r="N10" s="1"/>
  <c r="G19"/>
  <c r="N19" s="1"/>
  <c r="G28"/>
  <c r="G12"/>
  <c r="N12" s="1"/>
  <c r="G7"/>
  <c r="G17"/>
  <c r="N17" s="1"/>
  <c r="K21"/>
  <c r="G31"/>
  <c r="K27"/>
  <c r="G14"/>
  <c r="N14" s="1"/>
  <c r="G23"/>
  <c r="G32"/>
  <c r="G16"/>
  <c r="N16" s="1"/>
  <c r="G18"/>
  <c r="N18" s="1"/>
  <c r="G21"/>
  <c r="Q20"/>
  <c r="Q28"/>
  <c r="Q29"/>
  <c r="P40"/>
  <c r="Q22"/>
  <c r="Q26"/>
  <c r="Z17"/>
  <c r="F40"/>
  <c r="J40"/>
  <c r="N34" l="1"/>
  <c r="N35"/>
  <c r="S36"/>
  <c r="T36" s="1"/>
  <c r="U36"/>
  <c r="V36" s="1"/>
  <c r="K39"/>
  <c r="N36"/>
  <c r="Q39"/>
  <c r="S33"/>
  <c r="T33" s="1"/>
  <c r="U33"/>
  <c r="V33" s="1"/>
  <c r="G39"/>
  <c r="S29"/>
  <c r="T29" s="1"/>
  <c r="U29"/>
  <c r="V29" s="1"/>
  <c r="U22"/>
  <c r="V22" s="1"/>
  <c r="S22"/>
  <c r="T22" s="1"/>
  <c r="S20"/>
  <c r="T20" s="1"/>
  <c r="U20"/>
  <c r="U26"/>
  <c r="V26" s="1"/>
  <c r="S26"/>
  <c r="T26" s="1"/>
  <c r="S28"/>
  <c r="T28" s="1"/>
  <c r="U28"/>
  <c r="V28" s="1"/>
  <c r="S24"/>
  <c r="Q42"/>
  <c r="U24"/>
  <c r="G42"/>
  <c r="K42"/>
  <c r="V7"/>
  <c r="T7"/>
  <c r="N31"/>
  <c r="N32"/>
  <c r="N23"/>
  <c r="N30"/>
  <c r="Z22"/>
  <c r="Q40"/>
  <c r="N25"/>
  <c r="N29"/>
  <c r="N20"/>
  <c r="N28"/>
  <c r="N27"/>
  <c r="N22"/>
  <c r="N24"/>
  <c r="R40"/>
  <c r="N21"/>
  <c r="C39"/>
  <c r="C40"/>
  <c r="K40"/>
  <c r="G40"/>
  <c r="X17"/>
  <c r="X18" s="1"/>
  <c r="AA18" s="1"/>
  <c r="N7"/>
  <c r="X22"/>
  <c r="V20" l="1"/>
  <c r="U39"/>
  <c r="S39"/>
  <c r="N39"/>
  <c r="S42"/>
  <c r="T24"/>
  <c r="T42" s="1"/>
  <c r="U42"/>
  <c r="V24"/>
  <c r="V42" s="1"/>
  <c r="N42"/>
  <c r="N40"/>
  <c r="U40"/>
  <c r="X23"/>
  <c r="Z23" s="1"/>
  <c r="S40"/>
  <c r="X8"/>
  <c r="AA8" s="1"/>
  <c r="V40" l="1"/>
  <c r="T40"/>
  <c r="D40"/>
</calcChain>
</file>

<file path=xl/sharedStrings.xml><?xml version="1.0" encoding="utf-8"?>
<sst xmlns="http://schemas.openxmlformats.org/spreadsheetml/2006/main" count="122" uniqueCount="86">
  <si>
    <t>Date</t>
  </si>
  <si>
    <t>Elec kWh</t>
  </si>
  <si>
    <t>Gas</t>
  </si>
  <si>
    <t>Gas £ kWh</t>
  </si>
  <si>
    <t>per day</t>
  </si>
  <si>
    <t>Heat pump mostly off at night</t>
  </si>
  <si>
    <t>net for everything</t>
  </si>
  <si>
    <t>Totals month to date</t>
  </si>
  <si>
    <t>Electric</t>
  </si>
  <si>
    <t>Gas (water)</t>
  </si>
  <si>
    <t>total for everything</t>
  </si>
  <si>
    <t>Net total</t>
  </si>
  <si>
    <t>Solar output was very high for season</t>
  </si>
  <si>
    <t>Solar was low for season &amp; HP on all night</t>
  </si>
  <si>
    <t>Notes</t>
  </si>
  <si>
    <t>FIT total</t>
  </si>
  <si>
    <t>B = New electric meter installed 2 April</t>
  </si>
  <si>
    <t>E = Solar output from meter</t>
  </si>
  <si>
    <t>Data sources &amp; Formulae</t>
  </si>
  <si>
    <t>9 day test mixed usage - gas &amp; HP (heat pump)</t>
  </si>
  <si>
    <t>Temp</t>
  </si>
  <si>
    <t>n/a for 31st</t>
  </si>
  <si>
    <t>Gas figures averaged over initial period</t>
  </si>
  <si>
    <t>C = Metered kWH imported from grid daily</t>
  </si>
  <si>
    <t>Averages per day</t>
  </si>
  <si>
    <t>Use</t>
  </si>
  <si>
    <t>Mix</t>
  </si>
  <si>
    <t>HP</t>
  </si>
  <si>
    <t>5 day test heat pump (HP) only all day &amp; night</t>
  </si>
  <si>
    <t>First 2 days were old heating system + solar</t>
  </si>
  <si>
    <t>per day spot heating</t>
  </si>
  <si>
    <t>Net CO2</t>
  </si>
  <si>
    <t>CO2 Gas</t>
  </si>
  <si>
    <t>C02 Grid</t>
  </si>
  <si>
    <t>Meter</t>
  </si>
  <si>
    <t>Grid kWh</t>
  </si>
  <si>
    <t>£ Grid cost</t>
  </si>
  <si>
    <t>£ Net Elec</t>
  </si>
  <si>
    <t>"Solar" = metered solar output kWh ("units")</t>
  </si>
  <si>
    <t>£ FIT</t>
  </si>
  <si>
    <t>FIT = solar Feed-In Tariffs</t>
  </si>
  <si>
    <t>C02 SolarExp</t>
  </si>
  <si>
    <t>Gas m3</t>
  </si>
  <si>
    <t>Gas kWh</t>
  </si>
  <si>
    <t>£ Gas</t>
  </si>
  <si>
    <t>FIT exp</t>
  </si>
  <si>
    <t>FIT gen</t>
  </si>
  <si>
    <t>"Grid" = imported grid electric</t>
  </si>
  <si>
    <t>See data notes below</t>
  </si>
  <si>
    <t xml:space="preserve">Gas:Electricity CO2 ratio </t>
  </si>
  <si>
    <t xml:space="preserve">Gas:Electricity cost ratio </t>
  </si>
  <si>
    <t>Solar kWh</t>
  </si>
  <si>
    <t>£/Day Tot</t>
  </si>
  <si>
    <t>C02 Elec intensity kg</t>
  </si>
  <si>
    <t>C02 Gas intensity kg</t>
  </si>
  <si>
    <t>Gross C02</t>
  </si>
  <si>
    <t>Gas kWh/m3</t>
  </si>
  <si>
    <t>Standing Charges</t>
  </si>
  <si>
    <t>Historic April C02 kg/day</t>
  </si>
  <si>
    <t>% Fall</t>
  </si>
  <si>
    <t>D = Units used from grid times cost/unit incl daily standing charge and VAT</t>
  </si>
  <si>
    <t>F = Solar production times combined FIT</t>
  </si>
  <si>
    <t>G = Grid units cost less combined FIT reciept. Red = negative cost therefore net profit</t>
  </si>
  <si>
    <t>I = Gas meter reading 8am cubic metres</t>
  </si>
  <si>
    <t>J = Gas as metered converted to kWh</t>
  </si>
  <si>
    <t>K = Gas costs including VAT and daily standing charge</t>
  </si>
  <si>
    <t>L = Proxy mean outside temperature - hi/lo mean</t>
  </si>
  <si>
    <t>N = Net energy cost for the day (Electricity - FITs + Gas). Red = negative cost = net profit</t>
  </si>
  <si>
    <t>M = Whether using Gas CH or Heat Pump (HP) or mixed</t>
  </si>
  <si>
    <t>S - Gross CO2 footprint - gas + electricity</t>
  </si>
  <si>
    <t>P = C02 from grid electric imports (kg) Carbon Trust data</t>
  </si>
  <si>
    <t>Q = C02 emissions from gas use (kg) Carbon Trust data</t>
  </si>
  <si>
    <t>T &amp; V = Based on 4 year historic April footprint of 15.6 kg C02/day</t>
  </si>
  <si>
    <t>Nb. Usually 3 out of 5 rooms + kitchen/bathroom heated to 17C - 22C. Normally in past with gas central heating usually on 2 or 3 times a day, about 4 hours total, and in midwinter central heating was on all day when working from home.</t>
  </si>
  <si>
    <t>These figures include all the phaffing around at the start of the month (dark blue) when trying out a combination of systems, and experimenting with keeping heat pump on all night. Settled down as of 18 April to pump on from 5 am only otherwise too hot at night.</t>
  </si>
  <si>
    <t xml:space="preserve">Note that for the settled down period, currently 18 - 26 April, average key daily figures work out at net energy cost negative 88p, gross C02 7.03 kg representing a fall on the historic baseline of 55%, and net C02 2.69 kg representing a baseline fall of 83%. </t>
  </si>
  <si>
    <t>Energy Calculations 26 Luss Rd, G51 3YD - Heat Pump, gas &amp; Solar with Feed in Tarrifs (FIT)</t>
  </si>
  <si>
    <t>HP on 14 hrs, off at night - gas for water only</t>
  </si>
  <si>
    <t>3 day test gas only heating - 4 hrs on - HP off</t>
  </si>
  <si>
    <t>R = C02 redeemed by exporting power to grid assuming 50% solar output export on average over the year</t>
  </si>
  <si>
    <t>U - Net C02 footprint = gas and imported electricity less 50% solar export estimated seasonal average</t>
  </si>
  <si>
    <t xml:space="preserve"> </t>
  </si>
  <si>
    <t>Previous weighted usage for these April temperatures of 11.1 kWh electricity and 6 cubmic metres of gas would have cost/day:</t>
  </si>
  <si>
    <t>about £140 for the month.</t>
  </si>
  <si>
    <t>Averages from 18th only</t>
  </si>
  <si>
    <t>"Gas" = gas volume cubic metres (m3) or @ 11.3 kWh/m3</t>
  </si>
</sst>
</file>

<file path=xl/styles.xml><?xml version="1.0" encoding="utf-8"?>
<styleSheet xmlns="http://schemas.openxmlformats.org/spreadsheetml/2006/main">
  <numFmts count="9">
    <numFmt numFmtId="8" formatCode="&quot;£&quot;#,##0.00;[Red]\-&quot;£&quot;#,##0.00"/>
    <numFmt numFmtId="164" formatCode="&quot;£&quot;#,##0.0000;[Red]\-&quot;£&quot;#,##0.0000"/>
    <numFmt numFmtId="165" formatCode="&quot;£&quot;#,##0.00"/>
    <numFmt numFmtId="166" formatCode="#,##0.0000"/>
    <numFmt numFmtId="167" formatCode="0.0_ ;[Red]\-0.0\ "/>
    <numFmt numFmtId="168" formatCode="0.0"/>
    <numFmt numFmtId="169" formatCode="#,##0.0_ ;[Red]\-#,##0.0\ "/>
    <numFmt numFmtId="170" formatCode="#,##0_ ;[Red]\-#,##0\ "/>
    <numFmt numFmtId="171" formatCode="#,##0.00_ ;[Red]\-#,##0.00\ 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/>
    <xf numFmtId="8" fontId="0" fillId="0" borderId="0" xfId="0" applyNumberFormat="1"/>
    <xf numFmtId="164" fontId="0" fillId="0" borderId="0" xfId="0" applyNumberFormat="1"/>
    <xf numFmtId="10" fontId="0" fillId="0" borderId="0" xfId="0" applyNumberFormat="1"/>
    <xf numFmtId="165" fontId="0" fillId="0" borderId="0" xfId="0" applyNumberFormat="1"/>
    <xf numFmtId="166" fontId="0" fillId="0" borderId="0" xfId="0" applyNumberFormat="1"/>
    <xf numFmtId="8" fontId="1" fillId="0" borderId="0" xfId="0" applyNumberFormat="1" applyFont="1"/>
    <xf numFmtId="165" fontId="1" fillId="0" borderId="0" xfId="0" applyNumberFormat="1" applyFont="1"/>
    <xf numFmtId="0" fontId="0" fillId="2" borderId="0" xfId="0" applyFill="1"/>
    <xf numFmtId="8" fontId="0" fillId="2" borderId="0" xfId="0" applyNumberFormat="1" applyFill="1"/>
    <xf numFmtId="167" fontId="0" fillId="2" borderId="0" xfId="0" applyNumberFormat="1" applyFill="1"/>
    <xf numFmtId="1" fontId="0" fillId="2" borderId="0" xfId="0" applyNumberFormat="1" applyFill="1"/>
    <xf numFmtId="0" fontId="0" fillId="3" borderId="0" xfId="0" applyFill="1"/>
    <xf numFmtId="8" fontId="0" fillId="3" borderId="0" xfId="0" applyNumberFormat="1" applyFill="1"/>
    <xf numFmtId="167" fontId="0" fillId="3" borderId="0" xfId="0" applyNumberFormat="1" applyFill="1"/>
    <xf numFmtId="1" fontId="0" fillId="3" borderId="0" xfId="0" applyNumberFormat="1" applyFill="1"/>
    <xf numFmtId="8" fontId="0" fillId="0" borderId="0" xfId="0" applyNumberFormat="1" applyFill="1"/>
    <xf numFmtId="8" fontId="3" fillId="0" borderId="0" xfId="0" applyNumberFormat="1" applyFont="1"/>
    <xf numFmtId="0" fontId="3" fillId="0" borderId="0" xfId="0" applyFont="1"/>
    <xf numFmtId="0" fontId="2" fillId="0" borderId="0" xfId="0" applyFont="1"/>
    <xf numFmtId="168" fontId="0" fillId="0" borderId="0" xfId="0" applyNumberFormat="1"/>
    <xf numFmtId="14" fontId="0" fillId="4" borderId="0" xfId="0" applyNumberFormat="1" applyFill="1"/>
    <xf numFmtId="0" fontId="0" fillId="4" borderId="0" xfId="0" applyFill="1"/>
    <xf numFmtId="8" fontId="0" fillId="4" borderId="0" xfId="0" applyNumberFormat="1" applyFill="1"/>
    <xf numFmtId="167" fontId="0" fillId="4" borderId="0" xfId="0" applyNumberFormat="1" applyFill="1"/>
    <xf numFmtId="14" fontId="0" fillId="0" borderId="0" xfId="0" applyNumberFormat="1" applyFont="1" applyFill="1"/>
    <xf numFmtId="0" fontId="0" fillId="0" borderId="0" xfId="0" applyFont="1" applyFill="1"/>
    <xf numFmtId="8" fontId="0" fillId="0" borderId="0" xfId="0" applyNumberFormat="1" applyFont="1" applyFill="1"/>
    <xf numFmtId="167" fontId="0" fillId="0" borderId="0" xfId="0" applyNumberFormat="1" applyFont="1" applyFill="1"/>
    <xf numFmtId="1" fontId="0" fillId="0" borderId="0" xfId="0" applyNumberFormat="1" applyFont="1" applyFill="1"/>
    <xf numFmtId="165" fontId="0" fillId="0" borderId="0" xfId="0" applyNumberFormat="1" applyFont="1" applyFill="1"/>
    <xf numFmtId="169" fontId="0" fillId="0" borderId="0" xfId="0" applyNumberFormat="1" applyFill="1"/>
    <xf numFmtId="9" fontId="0" fillId="0" borderId="0" xfId="0" applyNumberFormat="1" applyFill="1"/>
    <xf numFmtId="169" fontId="1" fillId="0" borderId="0" xfId="0" applyNumberFormat="1" applyFont="1"/>
    <xf numFmtId="169" fontId="0" fillId="4" borderId="0" xfId="0" applyNumberFormat="1" applyFill="1"/>
    <xf numFmtId="9" fontId="0" fillId="4" borderId="0" xfId="0" applyNumberFormat="1" applyFill="1"/>
    <xf numFmtId="169" fontId="0" fillId="2" borderId="0" xfId="0" applyNumberFormat="1" applyFill="1"/>
    <xf numFmtId="9" fontId="0" fillId="2" borderId="0" xfId="0" applyNumberFormat="1" applyFill="1"/>
    <xf numFmtId="169" fontId="0" fillId="3" borderId="0" xfId="0" applyNumberFormat="1" applyFill="1"/>
    <xf numFmtId="9" fontId="0" fillId="3" borderId="0" xfId="0" applyNumberFormat="1" applyFill="1"/>
    <xf numFmtId="9" fontId="3" fillId="0" borderId="0" xfId="0" applyNumberFormat="1" applyFont="1"/>
    <xf numFmtId="168" fontId="0" fillId="4" borderId="0" xfId="0" applyNumberFormat="1" applyFill="1"/>
    <xf numFmtId="169" fontId="0" fillId="0" borderId="0" xfId="0" applyNumberFormat="1" applyFont="1"/>
    <xf numFmtId="9" fontId="0" fillId="0" borderId="0" xfId="0" applyNumberFormat="1"/>
    <xf numFmtId="0" fontId="0" fillId="4" borderId="0" xfId="0" applyFill="1" applyAlignment="1">
      <alignment horizontal="center"/>
    </xf>
    <xf numFmtId="1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1" fontId="0" fillId="3" borderId="0" xfId="0" applyNumberFormat="1" applyFill="1" applyAlignment="1">
      <alignment horizontal="center"/>
    </xf>
    <xf numFmtId="1" fontId="0" fillId="0" borderId="0" xfId="0" applyNumberFormat="1" applyFont="1" applyFill="1" applyAlignment="1">
      <alignment horizontal="center"/>
    </xf>
    <xf numFmtId="14" fontId="0" fillId="4" borderId="0" xfId="0" applyNumberFormat="1" applyFont="1" applyFill="1"/>
    <xf numFmtId="14" fontId="0" fillId="2" borderId="0" xfId="0" applyNumberFormat="1" applyFont="1" applyFill="1"/>
    <xf numFmtId="14" fontId="0" fillId="3" borderId="0" xfId="0" applyNumberFormat="1" applyFont="1" applyFill="1"/>
    <xf numFmtId="168" fontId="1" fillId="0" borderId="0" xfId="0" applyNumberFormat="1" applyFont="1"/>
    <xf numFmtId="0" fontId="0" fillId="0" borderId="0" xfId="0" applyFont="1"/>
    <xf numFmtId="8" fontId="0" fillId="0" borderId="0" xfId="0" applyNumberFormat="1" applyFont="1"/>
    <xf numFmtId="1" fontId="0" fillId="0" borderId="0" xfId="0" applyNumberFormat="1" applyFont="1"/>
    <xf numFmtId="167" fontId="0" fillId="0" borderId="0" xfId="0" applyNumberFormat="1" applyFont="1"/>
    <xf numFmtId="168" fontId="0" fillId="3" borderId="0" xfId="0" applyNumberFormat="1" applyFill="1"/>
    <xf numFmtId="168" fontId="0" fillId="2" borderId="0" xfId="0" applyNumberFormat="1" applyFill="1"/>
    <xf numFmtId="168" fontId="0" fillId="0" borderId="0" xfId="0" applyNumberFormat="1" applyFill="1"/>
    <xf numFmtId="9" fontId="0" fillId="0" borderId="0" xfId="0" applyNumberFormat="1" applyFont="1" applyFill="1"/>
    <xf numFmtId="168" fontId="0" fillId="0" borderId="0" xfId="0" applyNumberFormat="1" applyFont="1" applyFill="1"/>
    <xf numFmtId="169" fontId="0" fillId="0" borderId="0" xfId="0" applyNumberFormat="1" applyFont="1" applyFill="1"/>
    <xf numFmtId="14" fontId="0" fillId="0" borderId="0" xfId="0" applyNumberFormat="1" applyFill="1"/>
    <xf numFmtId="170" fontId="0" fillId="0" borderId="0" xfId="0" applyNumberFormat="1" applyFont="1" applyFill="1"/>
    <xf numFmtId="171" fontId="0" fillId="0" borderId="0" xfId="0" applyNumberFormat="1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6"/>
  <sheetViews>
    <sheetView tabSelected="1" zoomScale="70" zoomScaleNormal="70" workbookViewId="0">
      <pane ySplit="6" topLeftCell="A7" activePane="bottomLeft" state="frozen"/>
      <selection pane="bottomLeft" activeCell="M2" sqref="M2"/>
    </sheetView>
  </sheetViews>
  <sheetFormatPr defaultRowHeight="14.4"/>
  <cols>
    <col min="1" max="1" width="11.109375" customWidth="1"/>
    <col min="2" max="3" width="10" customWidth="1"/>
    <col min="4" max="4" width="11.44140625" customWidth="1"/>
    <col min="5" max="5" width="10.77734375" customWidth="1"/>
    <col min="6" max="6" width="7.109375" customWidth="1"/>
    <col min="7" max="7" width="11.33203125" customWidth="1"/>
    <col min="8" max="8" width="8" customWidth="1"/>
    <col min="9" max="9" width="8.21875" customWidth="1"/>
    <col min="10" max="10" width="12.44140625" customWidth="1"/>
    <col min="11" max="11" width="8.5546875" customWidth="1"/>
    <col min="12" max="12" width="6.21875" customWidth="1"/>
    <col min="13" max="13" width="4.44140625" customWidth="1"/>
    <col min="14" max="14" width="9.77734375" customWidth="1"/>
    <col min="15" max="15" width="2.44140625" customWidth="1"/>
    <col min="16" max="17" width="9.33203125" customWidth="1"/>
    <col min="18" max="18" width="13.88671875" customWidth="1"/>
    <col min="19" max="19" width="11.5546875" customWidth="1"/>
    <col min="20" max="20" width="7.5546875" customWidth="1"/>
    <col min="21" max="21" width="9.21875" customWidth="1"/>
    <col min="22" max="22" width="7.21875" customWidth="1"/>
    <col min="23" max="23" width="8.88671875" customWidth="1"/>
  </cols>
  <sheetData>
    <row r="1" spans="1:28">
      <c r="A1" s="1" t="s">
        <v>76</v>
      </c>
      <c r="I1" t="s">
        <v>81</v>
      </c>
      <c r="J1" t="s">
        <v>47</v>
      </c>
      <c r="K1" s="6"/>
      <c r="L1" s="6"/>
      <c r="M1" s="6" t="s">
        <v>85</v>
      </c>
      <c r="O1" s="6"/>
      <c r="P1" s="6"/>
      <c r="Q1" s="6"/>
      <c r="R1" s="6"/>
      <c r="S1" s="6" t="s">
        <v>38</v>
      </c>
      <c r="T1" s="6"/>
      <c r="U1" s="6"/>
      <c r="Y1" t="s">
        <v>40</v>
      </c>
    </row>
    <row r="2" spans="1:28">
      <c r="A2" s="1" t="s">
        <v>81</v>
      </c>
      <c r="I2" t="s">
        <v>81</v>
      </c>
      <c r="K2" s="6"/>
      <c r="L2" s="6"/>
      <c r="M2" s="6"/>
      <c r="O2" s="6"/>
      <c r="P2" s="6"/>
      <c r="Q2" s="6"/>
      <c r="R2" s="6"/>
      <c r="S2" s="6"/>
      <c r="T2" s="6"/>
      <c r="U2" s="6"/>
    </row>
    <row r="3" spans="1:28">
      <c r="A3" t="s">
        <v>46</v>
      </c>
      <c r="B3" s="3">
        <v>0.15440000000000001</v>
      </c>
      <c r="D3" t="s">
        <v>45</v>
      </c>
      <c r="E3" s="3">
        <v>4.4999999999999998E-2</v>
      </c>
      <c r="G3" t="s">
        <v>15</v>
      </c>
      <c r="H3" s="3">
        <f>B3+(E3*0.5)</f>
        <v>0.1769</v>
      </c>
      <c r="J3" t="s">
        <v>57</v>
      </c>
      <c r="L3" s="5">
        <f>0.1566*1.05</f>
        <v>0.16442999999999999</v>
      </c>
      <c r="P3" t="s">
        <v>53</v>
      </c>
      <c r="R3">
        <v>0.52500000000000002</v>
      </c>
      <c r="V3" t="s">
        <v>49</v>
      </c>
      <c r="Y3" s="44">
        <f>R4/R3*100%</f>
        <v>0.35047619047619044</v>
      </c>
    </row>
    <row r="4" spans="1:28">
      <c r="A4" t="s">
        <v>1</v>
      </c>
      <c r="B4" s="3">
        <f>1.05*0.1245</f>
        <v>0.13072500000000001</v>
      </c>
      <c r="D4" t="s">
        <v>3</v>
      </c>
      <c r="E4" s="3">
        <f>1.05*0.0402</f>
        <v>4.2210000000000004E-2</v>
      </c>
      <c r="G4" t="s">
        <v>56</v>
      </c>
      <c r="H4" s="6">
        <f>(39.8*1.02264)/3.6</f>
        <v>11.305853333333332</v>
      </c>
      <c r="J4" t="s">
        <v>58</v>
      </c>
      <c r="L4">
        <v>15.6</v>
      </c>
      <c r="P4" t="s">
        <v>54</v>
      </c>
      <c r="R4">
        <v>0.184</v>
      </c>
      <c r="V4" t="s">
        <v>50</v>
      </c>
      <c r="Y4" s="44">
        <f>E4/B4*100%</f>
        <v>0.32289156626506027</v>
      </c>
    </row>
    <row r="5" spans="1:28">
      <c r="A5" t="s">
        <v>48</v>
      </c>
      <c r="B5" s="3"/>
      <c r="E5" s="3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1:28" s="1" customFormat="1">
      <c r="A6" s="1" t="s">
        <v>0</v>
      </c>
      <c r="B6" s="1" t="s">
        <v>34</v>
      </c>
      <c r="C6" s="1" t="s">
        <v>35</v>
      </c>
      <c r="D6" s="1" t="s">
        <v>36</v>
      </c>
      <c r="E6" s="1" t="s">
        <v>51</v>
      </c>
      <c r="F6" s="1" t="s">
        <v>39</v>
      </c>
      <c r="G6" s="1" t="s">
        <v>37</v>
      </c>
      <c r="I6" s="1" t="s">
        <v>42</v>
      </c>
      <c r="J6" s="1" t="s">
        <v>43</v>
      </c>
      <c r="K6" s="1" t="s">
        <v>44</v>
      </c>
      <c r="L6" s="1" t="s">
        <v>20</v>
      </c>
      <c r="M6" s="1" t="s">
        <v>25</v>
      </c>
      <c r="N6" s="1" t="s">
        <v>52</v>
      </c>
      <c r="P6" s="1" t="s">
        <v>33</v>
      </c>
      <c r="Q6" s="1" t="s">
        <v>32</v>
      </c>
      <c r="R6" s="1" t="s">
        <v>41</v>
      </c>
      <c r="S6" s="1" t="s">
        <v>55</v>
      </c>
      <c r="T6" s="1" t="s">
        <v>59</v>
      </c>
      <c r="U6" s="1" t="s">
        <v>31</v>
      </c>
      <c r="V6" s="1" t="s">
        <v>59</v>
      </c>
      <c r="X6" s="1" t="s">
        <v>14</v>
      </c>
    </row>
    <row r="7" spans="1:28">
      <c r="A7" s="22">
        <v>41365</v>
      </c>
      <c r="B7" s="23">
        <v>8</v>
      </c>
      <c r="C7" s="23">
        <f>B7</f>
        <v>8</v>
      </c>
      <c r="D7" s="24">
        <f t="shared" ref="D7:D36" si="0">$B$4*C7+$L$3</f>
        <v>1.2102300000000001</v>
      </c>
      <c r="E7" s="23">
        <v>21</v>
      </c>
      <c r="F7" s="24">
        <f t="shared" ref="F7:F26" si="1">$H$3*E7</f>
        <v>3.7149000000000001</v>
      </c>
      <c r="G7" s="24">
        <f>D7-F7</f>
        <v>-2.50467</v>
      </c>
      <c r="H7" s="24"/>
      <c r="I7" s="25">
        <v>6351.3</v>
      </c>
      <c r="J7" s="45">
        <v>37</v>
      </c>
      <c r="K7" s="24">
        <f t="shared" ref="K7:K36" si="2">$E$4*J7+$L$3</f>
        <v>1.7262000000000002</v>
      </c>
      <c r="L7" s="23">
        <v>3</v>
      </c>
      <c r="M7" s="24" t="s">
        <v>26</v>
      </c>
      <c r="N7" s="24">
        <f t="shared" ref="N7:N36" si="3">G7+K7</f>
        <v>-0.77846999999999977</v>
      </c>
      <c r="O7" s="24"/>
      <c r="P7" s="35">
        <f t="shared" ref="P7:P35" si="4">C7*$R$3</f>
        <v>4.2</v>
      </c>
      <c r="Q7" s="35">
        <f t="shared" ref="Q7:Q32" si="5">J7*$R$4</f>
        <v>6.8079999999999998</v>
      </c>
      <c r="R7" s="35">
        <f t="shared" ref="R7:R32" si="6">-E7*$R$3/2</f>
        <v>-5.5125000000000002</v>
      </c>
      <c r="S7" s="35">
        <f>P7+Q7</f>
        <v>11.007999999999999</v>
      </c>
      <c r="T7" s="36">
        <f>($L$4-S7)/$L$4</f>
        <v>0.2943589743589744</v>
      </c>
      <c r="U7" s="42">
        <f>P7+Q7+R7</f>
        <v>5.4954999999999989</v>
      </c>
      <c r="V7" s="36">
        <f t="shared" ref="V7:V32" si="7">($L$4-U7)/$L$4</f>
        <v>0.64772435897435909</v>
      </c>
      <c r="X7" s="1" t="s">
        <v>19</v>
      </c>
    </row>
    <row r="8" spans="1:28">
      <c r="A8" s="22">
        <v>41366</v>
      </c>
      <c r="B8" s="23">
        <v>16</v>
      </c>
      <c r="C8" s="23">
        <f>B8-B7</f>
        <v>8</v>
      </c>
      <c r="D8" s="24">
        <f t="shared" si="0"/>
        <v>1.2102300000000001</v>
      </c>
      <c r="E8" s="23">
        <v>11</v>
      </c>
      <c r="F8" s="24">
        <f t="shared" si="1"/>
        <v>1.9459</v>
      </c>
      <c r="G8" s="24">
        <f t="shared" ref="G8:G36" si="8">D8-F8</f>
        <v>-0.73566999999999982</v>
      </c>
      <c r="H8" s="24"/>
      <c r="I8" s="25"/>
      <c r="J8" s="45">
        <v>37</v>
      </c>
      <c r="K8" s="24">
        <f t="shared" si="2"/>
        <v>1.7262000000000002</v>
      </c>
      <c r="L8" s="23">
        <v>1</v>
      </c>
      <c r="M8" s="24" t="s">
        <v>26</v>
      </c>
      <c r="N8" s="24">
        <f t="shared" si="3"/>
        <v>0.99053000000000035</v>
      </c>
      <c r="O8" s="24"/>
      <c r="P8" s="35">
        <f t="shared" si="4"/>
        <v>4.2</v>
      </c>
      <c r="Q8" s="35">
        <f t="shared" si="5"/>
        <v>6.8079999999999998</v>
      </c>
      <c r="R8" s="35">
        <f t="shared" si="6"/>
        <v>-2.8875000000000002</v>
      </c>
      <c r="S8" s="35">
        <f t="shared" ref="S8:S32" si="9">P8+Q8</f>
        <v>11.007999999999999</v>
      </c>
      <c r="T8" s="36">
        <f t="shared" ref="T8:T32" si="10">($L$4-S8)/$L$4</f>
        <v>0.2943589743589744</v>
      </c>
      <c r="U8" s="42">
        <f t="shared" ref="U8:U32" si="11">P8+Q8+R8</f>
        <v>8.1204999999999998</v>
      </c>
      <c r="V8" s="36">
        <f t="shared" si="7"/>
        <v>0.4794551282051282</v>
      </c>
      <c r="X8" s="2">
        <f>SUM(N7:N15)</f>
        <v>7.7570000000003247E-2</v>
      </c>
      <c r="Y8" t="s">
        <v>6</v>
      </c>
      <c r="AA8" s="2">
        <f>X8/9</f>
        <v>8.6188888888892503E-3</v>
      </c>
      <c r="AB8" t="s">
        <v>4</v>
      </c>
    </row>
    <row r="9" spans="1:28">
      <c r="A9" s="22">
        <v>41367</v>
      </c>
      <c r="B9" s="23">
        <v>24</v>
      </c>
      <c r="C9" s="23">
        <f t="shared" ref="C9:C29" si="12">B9-B8</f>
        <v>8</v>
      </c>
      <c r="D9" s="24">
        <f t="shared" si="0"/>
        <v>1.2102300000000001</v>
      </c>
      <c r="E9" s="23">
        <v>21</v>
      </c>
      <c r="F9" s="24">
        <f t="shared" si="1"/>
        <v>3.7149000000000001</v>
      </c>
      <c r="G9" s="24">
        <f t="shared" si="8"/>
        <v>-2.50467</v>
      </c>
      <c r="H9" s="24"/>
      <c r="I9" s="25"/>
      <c r="J9" s="45">
        <v>37</v>
      </c>
      <c r="K9" s="24">
        <f t="shared" si="2"/>
        <v>1.7262000000000002</v>
      </c>
      <c r="L9" s="23">
        <v>2</v>
      </c>
      <c r="M9" s="24" t="s">
        <v>26</v>
      </c>
      <c r="N9" s="24">
        <f t="shared" si="3"/>
        <v>-0.77846999999999977</v>
      </c>
      <c r="O9" s="24"/>
      <c r="P9" s="35">
        <f t="shared" si="4"/>
        <v>4.2</v>
      </c>
      <c r="Q9" s="35">
        <f t="shared" si="5"/>
        <v>6.8079999999999998</v>
      </c>
      <c r="R9" s="35">
        <f t="shared" si="6"/>
        <v>-5.5125000000000002</v>
      </c>
      <c r="S9" s="35">
        <f t="shared" si="9"/>
        <v>11.007999999999999</v>
      </c>
      <c r="T9" s="36">
        <f t="shared" si="10"/>
        <v>0.2943589743589744</v>
      </c>
      <c r="U9" s="42">
        <f t="shared" si="11"/>
        <v>5.4954999999999989</v>
      </c>
      <c r="V9" s="36">
        <f t="shared" si="7"/>
        <v>0.64772435897435909</v>
      </c>
      <c r="X9" t="s">
        <v>29</v>
      </c>
    </row>
    <row r="10" spans="1:28">
      <c r="A10" s="22">
        <v>41368</v>
      </c>
      <c r="B10" s="23">
        <v>32</v>
      </c>
      <c r="C10" s="23">
        <f t="shared" si="12"/>
        <v>8</v>
      </c>
      <c r="D10" s="24">
        <f t="shared" si="0"/>
        <v>1.2102300000000001</v>
      </c>
      <c r="E10" s="23">
        <v>16</v>
      </c>
      <c r="F10" s="24">
        <f t="shared" si="1"/>
        <v>2.8304</v>
      </c>
      <c r="G10" s="24">
        <f t="shared" si="8"/>
        <v>-1.6201699999999999</v>
      </c>
      <c r="H10" s="24"/>
      <c r="I10" s="25"/>
      <c r="J10" s="45">
        <v>37</v>
      </c>
      <c r="K10" s="24">
        <f t="shared" si="2"/>
        <v>1.7262000000000002</v>
      </c>
      <c r="L10" s="23">
        <v>5</v>
      </c>
      <c r="M10" s="24" t="s">
        <v>26</v>
      </c>
      <c r="N10" s="24">
        <f t="shared" si="3"/>
        <v>0.10603000000000029</v>
      </c>
      <c r="O10" s="24"/>
      <c r="P10" s="35">
        <f t="shared" si="4"/>
        <v>4.2</v>
      </c>
      <c r="Q10" s="35">
        <f t="shared" si="5"/>
        <v>6.8079999999999998</v>
      </c>
      <c r="R10" s="35">
        <f t="shared" si="6"/>
        <v>-4.2</v>
      </c>
      <c r="S10" s="35">
        <f t="shared" si="9"/>
        <v>11.007999999999999</v>
      </c>
      <c r="T10" s="36">
        <f t="shared" si="10"/>
        <v>0.2943589743589744</v>
      </c>
      <c r="U10" s="42">
        <f t="shared" si="11"/>
        <v>6.8079999999999989</v>
      </c>
      <c r="V10" s="36">
        <f t="shared" si="7"/>
        <v>0.56358974358974367</v>
      </c>
      <c r="X10" t="s">
        <v>22</v>
      </c>
    </row>
    <row r="11" spans="1:28">
      <c r="A11" s="22">
        <v>41369</v>
      </c>
      <c r="B11" s="23">
        <v>40</v>
      </c>
      <c r="C11" s="23">
        <f t="shared" si="12"/>
        <v>8</v>
      </c>
      <c r="D11" s="24">
        <f t="shared" si="0"/>
        <v>1.2102300000000001</v>
      </c>
      <c r="E11" s="23">
        <v>21</v>
      </c>
      <c r="F11" s="24">
        <f t="shared" si="1"/>
        <v>3.7149000000000001</v>
      </c>
      <c r="G11" s="24">
        <f t="shared" si="8"/>
        <v>-2.50467</v>
      </c>
      <c r="H11" s="24"/>
      <c r="I11" s="25"/>
      <c r="J11" s="45">
        <v>37</v>
      </c>
      <c r="K11" s="24">
        <f t="shared" si="2"/>
        <v>1.7262000000000002</v>
      </c>
      <c r="L11" s="23">
        <v>5</v>
      </c>
      <c r="M11" s="24" t="s">
        <v>26</v>
      </c>
      <c r="N11" s="24">
        <f t="shared" si="3"/>
        <v>-0.77846999999999977</v>
      </c>
      <c r="O11" s="24"/>
      <c r="P11" s="35">
        <f t="shared" si="4"/>
        <v>4.2</v>
      </c>
      <c r="Q11" s="35">
        <f t="shared" si="5"/>
        <v>6.8079999999999998</v>
      </c>
      <c r="R11" s="35">
        <f t="shared" si="6"/>
        <v>-5.5125000000000002</v>
      </c>
      <c r="S11" s="35">
        <f t="shared" si="9"/>
        <v>11.007999999999999</v>
      </c>
      <c r="T11" s="36">
        <f t="shared" si="10"/>
        <v>0.2943589743589744</v>
      </c>
      <c r="U11" s="42">
        <f t="shared" si="11"/>
        <v>5.4954999999999989</v>
      </c>
      <c r="V11" s="36">
        <f t="shared" si="7"/>
        <v>0.64772435897435909</v>
      </c>
      <c r="X11" t="s">
        <v>5</v>
      </c>
    </row>
    <row r="12" spans="1:28">
      <c r="A12" s="22">
        <v>41370</v>
      </c>
      <c r="B12" s="23">
        <v>48</v>
      </c>
      <c r="C12" s="23">
        <f t="shared" si="12"/>
        <v>8</v>
      </c>
      <c r="D12" s="24">
        <f t="shared" si="0"/>
        <v>1.2102300000000001</v>
      </c>
      <c r="E12" s="23">
        <v>14</v>
      </c>
      <c r="F12" s="24">
        <f t="shared" si="1"/>
        <v>2.4765999999999999</v>
      </c>
      <c r="G12" s="24">
        <f t="shared" si="8"/>
        <v>-1.2663699999999998</v>
      </c>
      <c r="H12" s="24"/>
      <c r="I12" s="25"/>
      <c r="J12" s="45">
        <v>37</v>
      </c>
      <c r="K12" s="24">
        <f t="shared" si="2"/>
        <v>1.7262000000000002</v>
      </c>
      <c r="L12" s="23">
        <v>2</v>
      </c>
      <c r="M12" s="24" t="s">
        <v>26</v>
      </c>
      <c r="N12" s="24">
        <f t="shared" si="3"/>
        <v>0.45983000000000041</v>
      </c>
      <c r="O12" s="24"/>
      <c r="P12" s="35">
        <f t="shared" si="4"/>
        <v>4.2</v>
      </c>
      <c r="Q12" s="35">
        <f t="shared" si="5"/>
        <v>6.8079999999999998</v>
      </c>
      <c r="R12" s="35">
        <f t="shared" si="6"/>
        <v>-3.6750000000000003</v>
      </c>
      <c r="S12" s="35">
        <f t="shared" si="9"/>
        <v>11.007999999999999</v>
      </c>
      <c r="T12" s="36">
        <f t="shared" si="10"/>
        <v>0.2943589743589744</v>
      </c>
      <c r="U12" s="42">
        <f t="shared" si="11"/>
        <v>7.3329999999999984</v>
      </c>
      <c r="V12" s="36">
        <f t="shared" si="7"/>
        <v>0.52993589743589753</v>
      </c>
      <c r="X12" t="s">
        <v>12</v>
      </c>
    </row>
    <row r="13" spans="1:28">
      <c r="A13" s="22">
        <v>41371</v>
      </c>
      <c r="B13" s="23">
        <v>56</v>
      </c>
      <c r="C13" s="23">
        <f t="shared" si="12"/>
        <v>8</v>
      </c>
      <c r="D13" s="24">
        <f t="shared" si="0"/>
        <v>1.2102300000000001</v>
      </c>
      <c r="E13" s="23">
        <v>12</v>
      </c>
      <c r="F13" s="24">
        <f t="shared" si="1"/>
        <v>2.1227999999999998</v>
      </c>
      <c r="G13" s="24">
        <f t="shared" si="8"/>
        <v>-0.91256999999999966</v>
      </c>
      <c r="H13" s="24"/>
      <c r="I13" s="25"/>
      <c r="J13" s="45">
        <v>37</v>
      </c>
      <c r="K13" s="24">
        <f t="shared" si="2"/>
        <v>1.7262000000000002</v>
      </c>
      <c r="L13" s="23">
        <v>4</v>
      </c>
      <c r="M13" s="24" t="s">
        <v>26</v>
      </c>
      <c r="N13" s="24">
        <f t="shared" si="3"/>
        <v>0.81363000000000052</v>
      </c>
      <c r="O13" s="24"/>
      <c r="P13" s="35">
        <f t="shared" si="4"/>
        <v>4.2</v>
      </c>
      <c r="Q13" s="35">
        <f t="shared" si="5"/>
        <v>6.8079999999999998</v>
      </c>
      <c r="R13" s="35">
        <f t="shared" si="6"/>
        <v>-3.1500000000000004</v>
      </c>
      <c r="S13" s="35">
        <f t="shared" si="9"/>
        <v>11.007999999999999</v>
      </c>
      <c r="T13" s="36">
        <f t="shared" si="10"/>
        <v>0.2943589743589744</v>
      </c>
      <c r="U13" s="42">
        <f t="shared" si="11"/>
        <v>7.8579999999999988</v>
      </c>
      <c r="V13" s="36">
        <f t="shared" si="7"/>
        <v>0.49628205128205133</v>
      </c>
    </row>
    <row r="14" spans="1:28">
      <c r="A14" s="22">
        <v>41372</v>
      </c>
      <c r="B14" s="23">
        <v>64</v>
      </c>
      <c r="C14" s="23">
        <f t="shared" si="12"/>
        <v>8</v>
      </c>
      <c r="D14" s="24">
        <f t="shared" si="0"/>
        <v>1.2102300000000001</v>
      </c>
      <c r="E14" s="23">
        <v>7</v>
      </c>
      <c r="F14" s="24">
        <f t="shared" si="1"/>
        <v>1.2383</v>
      </c>
      <c r="G14" s="24">
        <f t="shared" si="8"/>
        <v>-2.8069999999999817E-2</v>
      </c>
      <c r="H14" s="24"/>
      <c r="I14" s="25"/>
      <c r="J14" s="45">
        <v>37</v>
      </c>
      <c r="K14" s="24">
        <f t="shared" si="2"/>
        <v>1.7262000000000002</v>
      </c>
      <c r="L14" s="23">
        <v>5</v>
      </c>
      <c r="M14" s="24" t="s">
        <v>26</v>
      </c>
      <c r="N14" s="24">
        <f t="shared" si="3"/>
        <v>1.6981300000000004</v>
      </c>
      <c r="O14" s="24"/>
      <c r="P14" s="35">
        <f t="shared" si="4"/>
        <v>4.2</v>
      </c>
      <c r="Q14" s="35">
        <f t="shared" si="5"/>
        <v>6.8079999999999998</v>
      </c>
      <c r="R14" s="35">
        <f t="shared" si="6"/>
        <v>-1.8375000000000001</v>
      </c>
      <c r="S14" s="35">
        <f t="shared" si="9"/>
        <v>11.007999999999999</v>
      </c>
      <c r="T14" s="36">
        <f t="shared" si="10"/>
        <v>0.2943589743589744</v>
      </c>
      <c r="U14" s="42">
        <f t="shared" si="11"/>
        <v>9.1704999999999988</v>
      </c>
      <c r="V14" s="36">
        <f t="shared" si="7"/>
        <v>0.41214743589743597</v>
      </c>
    </row>
    <row r="15" spans="1:28">
      <c r="A15" s="50">
        <v>41373</v>
      </c>
      <c r="B15" s="23">
        <v>68</v>
      </c>
      <c r="C15" s="23">
        <f t="shared" si="12"/>
        <v>4</v>
      </c>
      <c r="D15" s="24">
        <f t="shared" si="0"/>
        <v>0.68733</v>
      </c>
      <c r="E15" s="23">
        <v>23</v>
      </c>
      <c r="F15" s="24">
        <f t="shared" si="1"/>
        <v>4.0686999999999998</v>
      </c>
      <c r="G15" s="24">
        <f t="shared" si="8"/>
        <v>-3.3813699999999995</v>
      </c>
      <c r="H15" s="24"/>
      <c r="I15" s="25"/>
      <c r="J15" s="45">
        <v>37</v>
      </c>
      <c r="K15" s="24">
        <f t="shared" si="2"/>
        <v>1.7262000000000002</v>
      </c>
      <c r="L15" s="23">
        <v>4</v>
      </c>
      <c r="M15" s="24" t="s">
        <v>26</v>
      </c>
      <c r="N15" s="24">
        <f t="shared" si="3"/>
        <v>-1.6551699999999994</v>
      </c>
      <c r="O15" s="24"/>
      <c r="P15" s="35">
        <f t="shared" si="4"/>
        <v>2.1</v>
      </c>
      <c r="Q15" s="35">
        <f t="shared" si="5"/>
        <v>6.8079999999999998</v>
      </c>
      <c r="R15" s="35">
        <f t="shared" si="6"/>
        <v>-6.0375000000000005</v>
      </c>
      <c r="S15" s="35">
        <f t="shared" si="9"/>
        <v>8.9079999999999995</v>
      </c>
      <c r="T15" s="36">
        <f t="shared" si="10"/>
        <v>0.42897435897435898</v>
      </c>
      <c r="U15" s="42">
        <f t="shared" si="11"/>
        <v>2.8704999999999989</v>
      </c>
      <c r="V15" s="36">
        <f t="shared" si="7"/>
        <v>0.81599358974358982</v>
      </c>
    </row>
    <row r="16" spans="1:28">
      <c r="A16" s="51">
        <v>41374</v>
      </c>
      <c r="B16" s="9">
        <v>83</v>
      </c>
      <c r="C16" s="9">
        <f t="shared" si="12"/>
        <v>15</v>
      </c>
      <c r="D16" s="10">
        <f t="shared" si="0"/>
        <v>2.125305</v>
      </c>
      <c r="E16" s="9">
        <v>10</v>
      </c>
      <c r="F16" s="10">
        <f t="shared" si="1"/>
        <v>1.7690000000000001</v>
      </c>
      <c r="G16" s="10">
        <f t="shared" si="8"/>
        <v>0.35630499999999987</v>
      </c>
      <c r="H16" s="10"/>
      <c r="I16" s="11">
        <v>6384.1</v>
      </c>
      <c r="J16" s="46">
        <v>11</v>
      </c>
      <c r="K16" s="10">
        <f t="shared" si="2"/>
        <v>0.62874000000000008</v>
      </c>
      <c r="L16" s="12">
        <v>3</v>
      </c>
      <c r="M16" s="10" t="s">
        <v>27</v>
      </c>
      <c r="N16" s="10">
        <f t="shared" si="3"/>
        <v>0.98504499999999995</v>
      </c>
      <c r="O16" s="10"/>
      <c r="P16" s="37">
        <f t="shared" si="4"/>
        <v>7.875</v>
      </c>
      <c r="Q16" s="37">
        <f t="shared" si="5"/>
        <v>2.024</v>
      </c>
      <c r="R16" s="37">
        <f t="shared" si="6"/>
        <v>-2.625</v>
      </c>
      <c r="S16" s="37">
        <f t="shared" si="9"/>
        <v>9.8990000000000009</v>
      </c>
      <c r="T16" s="38">
        <f t="shared" si="10"/>
        <v>0.36544871794871786</v>
      </c>
      <c r="U16" s="59">
        <f t="shared" si="11"/>
        <v>7.2740000000000009</v>
      </c>
      <c r="V16" s="38">
        <f t="shared" si="7"/>
        <v>0.53371794871794864</v>
      </c>
      <c r="X16" s="1" t="s">
        <v>28</v>
      </c>
    </row>
    <row r="17" spans="1:28">
      <c r="A17" s="51">
        <v>41375</v>
      </c>
      <c r="B17" s="9">
        <v>105</v>
      </c>
      <c r="C17" s="9">
        <f t="shared" si="12"/>
        <v>22</v>
      </c>
      <c r="D17" s="10">
        <f t="shared" si="0"/>
        <v>3.0403799999999999</v>
      </c>
      <c r="E17" s="9">
        <v>2</v>
      </c>
      <c r="F17" s="10">
        <f t="shared" si="1"/>
        <v>0.3538</v>
      </c>
      <c r="G17" s="10">
        <f t="shared" si="8"/>
        <v>2.6865799999999997</v>
      </c>
      <c r="H17" s="10"/>
      <c r="I17" s="11"/>
      <c r="J17" s="47">
        <v>11</v>
      </c>
      <c r="K17" s="10">
        <f t="shared" si="2"/>
        <v>0.62874000000000008</v>
      </c>
      <c r="L17" s="9">
        <v>6</v>
      </c>
      <c r="M17" s="10" t="s">
        <v>27</v>
      </c>
      <c r="N17" s="10">
        <f t="shared" si="3"/>
        <v>3.3153199999999998</v>
      </c>
      <c r="O17" s="10"/>
      <c r="P17" s="37">
        <f t="shared" si="4"/>
        <v>11.55</v>
      </c>
      <c r="Q17" s="37">
        <f t="shared" si="5"/>
        <v>2.024</v>
      </c>
      <c r="R17" s="37">
        <f t="shared" si="6"/>
        <v>-0.52500000000000002</v>
      </c>
      <c r="S17" s="37">
        <f t="shared" si="9"/>
        <v>13.574000000000002</v>
      </c>
      <c r="T17" s="38">
        <f t="shared" si="10"/>
        <v>0.12987179487179476</v>
      </c>
      <c r="U17" s="59">
        <f t="shared" si="11"/>
        <v>13.049000000000001</v>
      </c>
      <c r="V17" s="38">
        <f t="shared" si="7"/>
        <v>0.16352564102564093</v>
      </c>
      <c r="X17" s="2">
        <f>SUM(G16:G20)</f>
        <v>5.0652500000000007</v>
      </c>
      <c r="Y17" t="s">
        <v>8</v>
      </c>
      <c r="Z17" s="5">
        <f>SUM(K16:K20)</f>
        <v>3.1470656678159656</v>
      </c>
      <c r="AA17" t="s">
        <v>9</v>
      </c>
    </row>
    <row r="18" spans="1:28">
      <c r="A18" s="51">
        <v>41376</v>
      </c>
      <c r="B18" s="9">
        <v>135</v>
      </c>
      <c r="C18" s="9">
        <f t="shared" si="12"/>
        <v>30</v>
      </c>
      <c r="D18" s="10">
        <f t="shared" si="0"/>
        <v>4.0861800000000006</v>
      </c>
      <c r="E18" s="9">
        <v>3</v>
      </c>
      <c r="F18" s="10">
        <f t="shared" si="1"/>
        <v>0.53069999999999995</v>
      </c>
      <c r="G18" s="10">
        <f t="shared" si="8"/>
        <v>3.5554800000000006</v>
      </c>
      <c r="H18" s="10"/>
      <c r="I18" s="11"/>
      <c r="J18" s="47">
        <v>11</v>
      </c>
      <c r="K18" s="10">
        <f t="shared" si="2"/>
        <v>0.62874000000000008</v>
      </c>
      <c r="L18" s="9">
        <v>5</v>
      </c>
      <c r="M18" s="10" t="s">
        <v>27</v>
      </c>
      <c r="N18" s="10">
        <f t="shared" si="3"/>
        <v>4.1842200000000007</v>
      </c>
      <c r="O18" s="10"/>
      <c r="P18" s="37">
        <f t="shared" si="4"/>
        <v>15.75</v>
      </c>
      <c r="Q18" s="37">
        <f t="shared" si="5"/>
        <v>2.024</v>
      </c>
      <c r="R18" s="37">
        <f t="shared" si="6"/>
        <v>-0.78750000000000009</v>
      </c>
      <c r="S18" s="37">
        <f t="shared" si="9"/>
        <v>17.774000000000001</v>
      </c>
      <c r="T18" s="38">
        <f t="shared" si="10"/>
        <v>-0.13935897435897443</v>
      </c>
      <c r="U18" s="59">
        <f t="shared" si="11"/>
        <v>16.986499999999999</v>
      </c>
      <c r="V18" s="38">
        <f t="shared" si="7"/>
        <v>-8.8878205128205115E-2</v>
      </c>
      <c r="X18" s="2">
        <f>X17+Z17</f>
        <v>8.2123156678159663</v>
      </c>
      <c r="Y18" t="s">
        <v>10</v>
      </c>
      <c r="AA18" s="2">
        <f>X18/5</f>
        <v>1.6424631335631932</v>
      </c>
      <c r="AB18" t="s">
        <v>4</v>
      </c>
    </row>
    <row r="19" spans="1:28">
      <c r="A19" s="51">
        <v>41377</v>
      </c>
      <c r="B19" s="9">
        <v>146</v>
      </c>
      <c r="C19" s="9">
        <f t="shared" si="12"/>
        <v>11</v>
      </c>
      <c r="D19" s="10">
        <f t="shared" si="0"/>
        <v>1.6024050000000001</v>
      </c>
      <c r="E19" s="9">
        <v>14</v>
      </c>
      <c r="F19" s="10">
        <f t="shared" si="1"/>
        <v>2.4765999999999999</v>
      </c>
      <c r="G19" s="10">
        <f t="shared" si="8"/>
        <v>-0.87419499999999983</v>
      </c>
      <c r="H19" s="10"/>
      <c r="I19" s="11"/>
      <c r="J19" s="47">
        <v>11</v>
      </c>
      <c r="K19" s="10">
        <f t="shared" si="2"/>
        <v>0.62874000000000008</v>
      </c>
      <c r="L19" s="9">
        <v>8</v>
      </c>
      <c r="M19" s="10" t="s">
        <v>27</v>
      </c>
      <c r="N19" s="10">
        <f t="shared" si="3"/>
        <v>-0.24545499999999976</v>
      </c>
      <c r="O19" s="10"/>
      <c r="P19" s="37">
        <f t="shared" si="4"/>
        <v>5.7750000000000004</v>
      </c>
      <c r="Q19" s="37">
        <f t="shared" si="5"/>
        <v>2.024</v>
      </c>
      <c r="R19" s="37">
        <f t="shared" si="6"/>
        <v>-3.6750000000000003</v>
      </c>
      <c r="S19" s="37">
        <f t="shared" si="9"/>
        <v>7.7990000000000004</v>
      </c>
      <c r="T19" s="38">
        <f t="shared" si="10"/>
        <v>0.5000641025641025</v>
      </c>
      <c r="U19" s="59">
        <f t="shared" si="11"/>
        <v>4.1240000000000006</v>
      </c>
      <c r="V19" s="38">
        <f t="shared" si="7"/>
        <v>0.73564102564102563</v>
      </c>
      <c r="X19" t="s">
        <v>13</v>
      </c>
    </row>
    <row r="20" spans="1:28">
      <c r="A20" s="51">
        <v>41378</v>
      </c>
      <c r="B20" s="9">
        <v>160</v>
      </c>
      <c r="C20" s="9">
        <f t="shared" si="12"/>
        <v>14</v>
      </c>
      <c r="D20" s="10">
        <f t="shared" si="0"/>
        <v>1.9945800000000002</v>
      </c>
      <c r="E20" s="9">
        <v>15</v>
      </c>
      <c r="F20" s="10">
        <f t="shared" si="1"/>
        <v>2.6535000000000002</v>
      </c>
      <c r="G20" s="10">
        <f t="shared" si="8"/>
        <v>-0.65891999999999995</v>
      </c>
      <c r="H20" s="10"/>
      <c r="I20" s="11">
        <v>6389</v>
      </c>
      <c r="J20" s="46">
        <f>((I20-I16)/5)*H4</f>
        <v>11.079736266665842</v>
      </c>
      <c r="K20" s="10">
        <f t="shared" si="2"/>
        <v>0.63210566781596522</v>
      </c>
      <c r="L20" s="12">
        <v>12</v>
      </c>
      <c r="M20" s="10" t="s">
        <v>27</v>
      </c>
      <c r="N20" s="10">
        <f t="shared" si="3"/>
        <v>-2.6814332184034728E-2</v>
      </c>
      <c r="O20" s="10"/>
      <c r="P20" s="37">
        <f t="shared" si="4"/>
        <v>7.3500000000000005</v>
      </c>
      <c r="Q20" s="37">
        <f t="shared" si="5"/>
        <v>2.0386714730665147</v>
      </c>
      <c r="R20" s="37">
        <f t="shared" si="6"/>
        <v>-3.9375</v>
      </c>
      <c r="S20" s="37">
        <f t="shared" si="9"/>
        <v>9.3886714730665162</v>
      </c>
      <c r="T20" s="38">
        <f t="shared" si="10"/>
        <v>0.39816208505983869</v>
      </c>
      <c r="U20" s="59">
        <f t="shared" si="11"/>
        <v>5.4511714730665162</v>
      </c>
      <c r="V20" s="38">
        <f t="shared" si="7"/>
        <v>0.65056593121368489</v>
      </c>
      <c r="X20" s="2"/>
    </row>
    <row r="21" spans="1:28">
      <c r="A21" s="52">
        <v>41379</v>
      </c>
      <c r="B21" s="13">
        <v>165</v>
      </c>
      <c r="C21" s="13">
        <f t="shared" si="12"/>
        <v>5</v>
      </c>
      <c r="D21" s="14">
        <f t="shared" si="0"/>
        <v>0.81805499999999998</v>
      </c>
      <c r="E21" s="13">
        <v>17</v>
      </c>
      <c r="F21" s="14">
        <f t="shared" si="1"/>
        <v>3.0072999999999999</v>
      </c>
      <c r="G21" s="14">
        <f t="shared" si="8"/>
        <v>-2.1892449999999997</v>
      </c>
      <c r="H21" s="14"/>
      <c r="I21" s="15">
        <v>6393.3</v>
      </c>
      <c r="J21" s="48">
        <f t="shared" ref="J21:J36" si="13">(I21-I20)*$H$4</f>
        <v>48.61516933333538</v>
      </c>
      <c r="K21" s="14">
        <f t="shared" si="2"/>
        <v>2.2164762975600865</v>
      </c>
      <c r="L21" s="16">
        <v>11</v>
      </c>
      <c r="M21" s="14" t="s">
        <v>2</v>
      </c>
      <c r="N21" s="14">
        <f t="shared" si="3"/>
        <v>2.7231297560086798E-2</v>
      </c>
      <c r="O21" s="14"/>
      <c r="P21" s="39">
        <f t="shared" si="4"/>
        <v>2.625</v>
      </c>
      <c r="Q21" s="39">
        <f t="shared" si="5"/>
        <v>8.94519115733371</v>
      </c>
      <c r="R21" s="39">
        <f t="shared" si="6"/>
        <v>-4.4625000000000004</v>
      </c>
      <c r="S21" s="39">
        <f t="shared" si="9"/>
        <v>11.57019115733371</v>
      </c>
      <c r="T21" s="40">
        <f t="shared" si="10"/>
        <v>0.25832107965809548</v>
      </c>
      <c r="U21" s="58">
        <f t="shared" si="11"/>
        <v>7.1076911573337096</v>
      </c>
      <c r="V21" s="40">
        <f t="shared" si="7"/>
        <v>0.54437877196578788</v>
      </c>
      <c r="X21" s="1" t="s">
        <v>78</v>
      </c>
    </row>
    <row r="22" spans="1:28">
      <c r="A22" s="52">
        <v>41380</v>
      </c>
      <c r="B22" s="13">
        <v>171</v>
      </c>
      <c r="C22" s="13">
        <f t="shared" si="12"/>
        <v>6</v>
      </c>
      <c r="D22" s="14">
        <f t="shared" si="0"/>
        <v>0.94878000000000007</v>
      </c>
      <c r="E22" s="13">
        <v>15</v>
      </c>
      <c r="F22" s="14">
        <f t="shared" si="1"/>
        <v>2.6535000000000002</v>
      </c>
      <c r="G22" s="14">
        <f t="shared" si="8"/>
        <v>-1.70472</v>
      </c>
      <c r="H22" s="14"/>
      <c r="I22" s="15">
        <v>6397</v>
      </c>
      <c r="J22" s="48">
        <f t="shared" si="13"/>
        <v>41.831657333331272</v>
      </c>
      <c r="K22" s="14">
        <f t="shared" si="2"/>
        <v>1.9301442560399134</v>
      </c>
      <c r="L22" s="16">
        <v>8</v>
      </c>
      <c r="M22" s="14" t="s">
        <v>2</v>
      </c>
      <c r="N22" s="14">
        <f t="shared" si="3"/>
        <v>0.22542425603991334</v>
      </c>
      <c r="O22" s="14"/>
      <c r="P22" s="39">
        <f t="shared" si="4"/>
        <v>3.1500000000000004</v>
      </c>
      <c r="Q22" s="39">
        <f t="shared" si="5"/>
        <v>7.6970249493329534</v>
      </c>
      <c r="R22" s="39">
        <f t="shared" si="6"/>
        <v>-3.9375</v>
      </c>
      <c r="S22" s="39">
        <f t="shared" si="9"/>
        <v>10.847024949332955</v>
      </c>
      <c r="T22" s="40">
        <f t="shared" si="10"/>
        <v>0.3046778878632721</v>
      </c>
      <c r="U22" s="58">
        <f t="shared" si="11"/>
        <v>6.9095249493329547</v>
      </c>
      <c r="V22" s="40">
        <f t="shared" si="7"/>
        <v>0.55708173401711825</v>
      </c>
      <c r="X22" s="2">
        <f>SUM(G21:G23)</f>
        <v>-3.6989599999999996</v>
      </c>
      <c r="Y22" t="s">
        <v>8</v>
      </c>
      <c r="Z22" s="5">
        <f>SUM(K21:K23)</f>
        <v>6.7925949134399133</v>
      </c>
      <c r="AA22" t="s">
        <v>2</v>
      </c>
    </row>
    <row r="23" spans="1:28">
      <c r="A23" s="52">
        <v>41381</v>
      </c>
      <c r="B23" s="13">
        <v>178</v>
      </c>
      <c r="C23" s="13">
        <f t="shared" si="12"/>
        <v>7</v>
      </c>
      <c r="D23" s="14">
        <f t="shared" si="0"/>
        <v>1.0795050000000002</v>
      </c>
      <c r="E23" s="13">
        <v>5</v>
      </c>
      <c r="F23" s="14">
        <f t="shared" si="1"/>
        <v>0.88450000000000006</v>
      </c>
      <c r="G23" s="14">
        <f t="shared" si="8"/>
        <v>0.19500500000000009</v>
      </c>
      <c r="H23" s="14"/>
      <c r="I23" s="15">
        <v>6402.2</v>
      </c>
      <c r="J23" s="48">
        <f t="shared" si="13"/>
        <v>58.790437333331269</v>
      </c>
      <c r="K23" s="14">
        <f t="shared" si="2"/>
        <v>2.6459743598399128</v>
      </c>
      <c r="L23" s="16">
        <v>8</v>
      </c>
      <c r="M23" s="14" t="s">
        <v>2</v>
      </c>
      <c r="N23" s="14">
        <f t="shared" si="3"/>
        <v>2.8409793598399129</v>
      </c>
      <c r="O23" s="14"/>
      <c r="P23" s="39">
        <f t="shared" si="4"/>
        <v>3.6750000000000003</v>
      </c>
      <c r="Q23" s="39">
        <f t="shared" si="5"/>
        <v>10.817440469332952</v>
      </c>
      <c r="R23" s="39">
        <f t="shared" si="6"/>
        <v>-1.3125</v>
      </c>
      <c r="S23" s="39">
        <f t="shared" si="9"/>
        <v>14.492440469332953</v>
      </c>
      <c r="T23" s="40">
        <f t="shared" si="10"/>
        <v>7.0997405811990155E-2</v>
      </c>
      <c r="U23" s="58">
        <f t="shared" si="11"/>
        <v>13.179940469332953</v>
      </c>
      <c r="V23" s="40">
        <f t="shared" si="7"/>
        <v>0.15513202119660555</v>
      </c>
      <c r="X23" s="2">
        <f>X22+Z22</f>
        <v>3.0936349134399137</v>
      </c>
      <c r="Y23" t="s">
        <v>11</v>
      </c>
      <c r="Z23" s="2">
        <f>X23/3</f>
        <v>1.0312116378133045</v>
      </c>
      <c r="AA23" t="s">
        <v>30</v>
      </c>
    </row>
    <row r="24" spans="1:28">
      <c r="A24" s="26">
        <v>41382</v>
      </c>
      <c r="B24" s="27">
        <v>189</v>
      </c>
      <c r="C24" s="27">
        <f t="shared" si="12"/>
        <v>11</v>
      </c>
      <c r="D24" s="17">
        <f t="shared" si="0"/>
        <v>1.6024050000000001</v>
      </c>
      <c r="E24" s="27">
        <v>17</v>
      </c>
      <c r="F24" s="28">
        <f t="shared" si="1"/>
        <v>3.0072999999999999</v>
      </c>
      <c r="G24" s="17">
        <f t="shared" si="8"/>
        <v>-1.4048949999999998</v>
      </c>
      <c r="H24" s="28"/>
      <c r="I24" s="29">
        <v>6403</v>
      </c>
      <c r="J24" s="49">
        <f t="shared" si="13"/>
        <v>9.0446826666687219</v>
      </c>
      <c r="K24" s="17">
        <f t="shared" si="2"/>
        <v>0.54620605536008682</v>
      </c>
      <c r="L24" s="30">
        <v>8</v>
      </c>
      <c r="M24" s="17" t="s">
        <v>27</v>
      </c>
      <c r="N24" s="28">
        <f t="shared" si="3"/>
        <v>-0.85868894463991297</v>
      </c>
      <c r="O24" s="28"/>
      <c r="P24" s="32">
        <f t="shared" si="4"/>
        <v>5.7750000000000004</v>
      </c>
      <c r="Q24" s="32">
        <f t="shared" si="5"/>
        <v>1.6642216106670449</v>
      </c>
      <c r="R24" s="32">
        <f t="shared" si="6"/>
        <v>-4.4625000000000004</v>
      </c>
      <c r="S24" s="32">
        <f t="shared" si="9"/>
        <v>7.4392216106670457</v>
      </c>
      <c r="T24" s="33">
        <f t="shared" si="10"/>
        <v>0.52312681982903553</v>
      </c>
      <c r="U24" s="60">
        <f t="shared" si="11"/>
        <v>2.9767216106670453</v>
      </c>
      <c r="V24" s="33">
        <f t="shared" si="7"/>
        <v>0.80918451213672782</v>
      </c>
    </row>
    <row r="25" spans="1:28">
      <c r="A25" s="26">
        <v>41383</v>
      </c>
      <c r="B25" s="27">
        <v>197</v>
      </c>
      <c r="C25" s="27">
        <f t="shared" si="12"/>
        <v>8</v>
      </c>
      <c r="D25" s="17">
        <f t="shared" si="0"/>
        <v>1.2102300000000001</v>
      </c>
      <c r="E25" s="27">
        <v>27</v>
      </c>
      <c r="F25" s="28">
        <f t="shared" si="1"/>
        <v>4.7763</v>
      </c>
      <c r="G25" s="17">
        <f t="shared" si="8"/>
        <v>-3.5660699999999999</v>
      </c>
      <c r="H25" s="28"/>
      <c r="I25" s="29">
        <v>6404.1</v>
      </c>
      <c r="J25" s="49">
        <f t="shared" si="13"/>
        <v>12.436438666670778</v>
      </c>
      <c r="K25" s="17">
        <f t="shared" si="2"/>
        <v>0.68937207612017359</v>
      </c>
      <c r="L25" s="30">
        <v>8</v>
      </c>
      <c r="M25" s="17" t="s">
        <v>27</v>
      </c>
      <c r="N25" s="28">
        <f t="shared" si="3"/>
        <v>-2.876697923879826</v>
      </c>
      <c r="O25" s="28"/>
      <c r="P25" s="32">
        <f t="shared" si="4"/>
        <v>4.2</v>
      </c>
      <c r="Q25" s="32">
        <f t="shared" si="5"/>
        <v>2.2883047146674231</v>
      </c>
      <c r="R25" s="32">
        <f t="shared" si="6"/>
        <v>-7.0875000000000004</v>
      </c>
      <c r="S25" s="32">
        <f t="shared" si="9"/>
        <v>6.4883047146674233</v>
      </c>
      <c r="T25" s="33">
        <f t="shared" si="10"/>
        <v>0.58408303111106263</v>
      </c>
      <c r="U25" s="60">
        <f t="shared" si="11"/>
        <v>-0.59919528533257704</v>
      </c>
      <c r="V25" s="33">
        <f t="shared" si="7"/>
        <v>1.0384099541879859</v>
      </c>
      <c r="X25" s="1" t="s">
        <v>77</v>
      </c>
    </row>
    <row r="26" spans="1:28">
      <c r="A26" s="26">
        <v>41384</v>
      </c>
      <c r="B26" s="27">
        <v>204</v>
      </c>
      <c r="C26" s="27">
        <f t="shared" si="12"/>
        <v>7</v>
      </c>
      <c r="D26" s="17">
        <f t="shared" si="0"/>
        <v>1.0795050000000002</v>
      </c>
      <c r="E26" s="27">
        <v>20</v>
      </c>
      <c r="F26" s="28">
        <f t="shared" si="1"/>
        <v>3.5380000000000003</v>
      </c>
      <c r="G26" s="17">
        <f t="shared" si="8"/>
        <v>-2.4584950000000001</v>
      </c>
      <c r="H26" s="28"/>
      <c r="I26" s="29">
        <v>6404.5</v>
      </c>
      <c r="J26" s="49">
        <f t="shared" si="13"/>
        <v>4.5223413333292193</v>
      </c>
      <c r="K26" s="17">
        <f t="shared" si="2"/>
        <v>0.35531802767982634</v>
      </c>
      <c r="L26" s="30">
        <v>8</v>
      </c>
      <c r="M26" s="17" t="s">
        <v>27</v>
      </c>
      <c r="N26" s="28">
        <f t="shared" si="3"/>
        <v>-2.1031769723201736</v>
      </c>
      <c r="O26" s="28"/>
      <c r="P26" s="32">
        <f t="shared" si="4"/>
        <v>3.6750000000000003</v>
      </c>
      <c r="Q26" s="32">
        <f t="shared" si="5"/>
        <v>0.83211080533257631</v>
      </c>
      <c r="R26" s="32">
        <f t="shared" si="6"/>
        <v>-5.25</v>
      </c>
      <c r="S26" s="32">
        <f t="shared" si="9"/>
        <v>4.5071108053325766</v>
      </c>
      <c r="T26" s="33">
        <f t="shared" si="10"/>
        <v>0.71108264068380922</v>
      </c>
      <c r="U26" s="60">
        <f t="shared" si="11"/>
        <v>-0.74288919466742342</v>
      </c>
      <c r="V26" s="33">
        <f t="shared" si="7"/>
        <v>1.0476211022222706</v>
      </c>
    </row>
    <row r="27" spans="1:28">
      <c r="A27" s="26">
        <v>41385</v>
      </c>
      <c r="B27" s="27">
        <v>217</v>
      </c>
      <c r="C27" s="27">
        <f t="shared" si="12"/>
        <v>13</v>
      </c>
      <c r="D27" s="17">
        <f t="shared" si="0"/>
        <v>1.8638550000000003</v>
      </c>
      <c r="E27" s="27">
        <v>14</v>
      </c>
      <c r="F27" s="28">
        <f t="shared" ref="F27:F36" si="14">$H$3*E27</f>
        <v>2.4765999999999999</v>
      </c>
      <c r="G27" s="17">
        <f t="shared" si="8"/>
        <v>-0.61274499999999965</v>
      </c>
      <c r="H27" s="28"/>
      <c r="I27" s="29">
        <v>6405.1</v>
      </c>
      <c r="J27" s="49">
        <f t="shared" si="13"/>
        <v>6.7835120000041123</v>
      </c>
      <c r="K27" s="17">
        <f t="shared" si="2"/>
        <v>0.45076204152017363</v>
      </c>
      <c r="L27" s="30">
        <v>9</v>
      </c>
      <c r="M27" s="17" t="s">
        <v>27</v>
      </c>
      <c r="N27" s="28">
        <f t="shared" si="3"/>
        <v>-0.16198295847982602</v>
      </c>
      <c r="O27" s="28"/>
      <c r="P27" s="32">
        <f t="shared" si="4"/>
        <v>6.8250000000000002</v>
      </c>
      <c r="Q27" s="32">
        <f t="shared" si="5"/>
        <v>1.2481662080007567</v>
      </c>
      <c r="R27" s="32">
        <f t="shared" si="6"/>
        <v>-3.6750000000000003</v>
      </c>
      <c r="S27" s="32">
        <f t="shared" si="9"/>
        <v>8.0731662080007567</v>
      </c>
      <c r="T27" s="33">
        <f t="shared" si="10"/>
        <v>0.48248934564097712</v>
      </c>
      <c r="U27" s="60">
        <f t="shared" si="11"/>
        <v>4.398166208000756</v>
      </c>
      <c r="V27" s="33">
        <f t="shared" si="7"/>
        <v>0.71806626871790025</v>
      </c>
    </row>
    <row r="28" spans="1:28">
      <c r="A28" s="26">
        <v>41386</v>
      </c>
      <c r="B28" s="27">
        <v>228</v>
      </c>
      <c r="C28" s="27">
        <f t="shared" si="12"/>
        <v>11</v>
      </c>
      <c r="D28" s="17">
        <f t="shared" si="0"/>
        <v>1.6024050000000001</v>
      </c>
      <c r="E28" s="27">
        <v>11</v>
      </c>
      <c r="F28" s="28">
        <f t="shared" si="14"/>
        <v>1.9459</v>
      </c>
      <c r="G28" s="17">
        <f t="shared" si="8"/>
        <v>-0.34349499999999988</v>
      </c>
      <c r="H28" s="28"/>
      <c r="I28" s="29">
        <v>6406</v>
      </c>
      <c r="J28" s="49">
        <f t="shared" si="13"/>
        <v>10.175267999995885</v>
      </c>
      <c r="K28" s="17">
        <f t="shared" si="2"/>
        <v>0.59392806227982631</v>
      </c>
      <c r="L28" s="30">
        <v>9</v>
      </c>
      <c r="M28" s="17" t="s">
        <v>27</v>
      </c>
      <c r="N28" s="28">
        <f t="shared" si="3"/>
        <v>0.25043306227982642</v>
      </c>
      <c r="O28" s="28"/>
      <c r="P28" s="32">
        <f t="shared" si="4"/>
        <v>5.7750000000000004</v>
      </c>
      <c r="Q28" s="32">
        <f t="shared" si="5"/>
        <v>1.8722493119992427</v>
      </c>
      <c r="R28" s="32">
        <f t="shared" si="6"/>
        <v>-2.8875000000000002</v>
      </c>
      <c r="S28" s="32">
        <f t="shared" si="9"/>
        <v>7.6472493119992428</v>
      </c>
      <c r="T28" s="33">
        <f t="shared" si="10"/>
        <v>0.50979171076927932</v>
      </c>
      <c r="U28" s="60">
        <f t="shared" si="11"/>
        <v>4.7597493119992427</v>
      </c>
      <c r="V28" s="33">
        <f t="shared" si="7"/>
        <v>0.69488786461543317</v>
      </c>
    </row>
    <row r="29" spans="1:28">
      <c r="A29" s="26">
        <v>41387</v>
      </c>
      <c r="B29" s="27">
        <v>243</v>
      </c>
      <c r="C29" s="27">
        <f t="shared" si="12"/>
        <v>15</v>
      </c>
      <c r="D29" s="17">
        <f t="shared" si="0"/>
        <v>2.125305</v>
      </c>
      <c r="E29" s="27">
        <v>8</v>
      </c>
      <c r="F29" s="28">
        <f t="shared" si="14"/>
        <v>1.4152</v>
      </c>
      <c r="G29" s="17">
        <f t="shared" si="8"/>
        <v>0.71010499999999999</v>
      </c>
      <c r="H29" s="28"/>
      <c r="I29" s="29">
        <v>6406.3</v>
      </c>
      <c r="J29" s="49">
        <f t="shared" si="13"/>
        <v>3.3917560000020561</v>
      </c>
      <c r="K29" s="17">
        <f t="shared" si="2"/>
        <v>0.3075960207600868</v>
      </c>
      <c r="L29" s="30">
        <v>10</v>
      </c>
      <c r="M29" s="17" t="s">
        <v>27</v>
      </c>
      <c r="N29" s="28">
        <f t="shared" si="3"/>
        <v>1.0177010207600867</v>
      </c>
      <c r="O29" s="28"/>
      <c r="P29" s="32">
        <f t="shared" si="4"/>
        <v>7.875</v>
      </c>
      <c r="Q29" s="32">
        <f t="shared" si="5"/>
        <v>0.62408310400037836</v>
      </c>
      <c r="R29" s="32">
        <f t="shared" si="6"/>
        <v>-2.1</v>
      </c>
      <c r="S29" s="32">
        <f t="shared" si="9"/>
        <v>8.4990831040003787</v>
      </c>
      <c r="T29" s="33">
        <f t="shared" si="10"/>
        <v>0.45518698051279621</v>
      </c>
      <c r="U29" s="60">
        <f t="shared" si="11"/>
        <v>6.3990831040003791</v>
      </c>
      <c r="V29" s="33">
        <f t="shared" si="7"/>
        <v>0.58980236512818085</v>
      </c>
      <c r="X29" s="2"/>
    </row>
    <row r="30" spans="1:28">
      <c r="A30" s="26">
        <v>41388</v>
      </c>
      <c r="B30" s="27">
        <v>255</v>
      </c>
      <c r="C30" s="27">
        <f>B30-B29</f>
        <v>12</v>
      </c>
      <c r="D30" s="17">
        <f t="shared" si="0"/>
        <v>1.7331300000000003</v>
      </c>
      <c r="E30" s="27">
        <v>18</v>
      </c>
      <c r="F30" s="28">
        <f t="shared" si="14"/>
        <v>3.1842000000000001</v>
      </c>
      <c r="G30" s="17">
        <f t="shared" si="8"/>
        <v>-1.4510699999999999</v>
      </c>
      <c r="H30" s="28"/>
      <c r="I30" s="29">
        <v>6407.1</v>
      </c>
      <c r="J30" s="49">
        <f t="shared" si="13"/>
        <v>9.0446826666687219</v>
      </c>
      <c r="K30" s="17">
        <f t="shared" si="2"/>
        <v>0.54620605536008682</v>
      </c>
      <c r="L30" s="30">
        <v>9</v>
      </c>
      <c r="M30" s="17" t="s">
        <v>27</v>
      </c>
      <c r="N30" s="28">
        <f t="shared" si="3"/>
        <v>-0.90486394463991304</v>
      </c>
      <c r="O30" s="28"/>
      <c r="P30" s="32">
        <f t="shared" si="4"/>
        <v>6.3000000000000007</v>
      </c>
      <c r="Q30" s="32">
        <f t="shared" si="5"/>
        <v>1.6642216106670449</v>
      </c>
      <c r="R30" s="32">
        <f t="shared" si="6"/>
        <v>-4.7250000000000005</v>
      </c>
      <c r="S30" s="32">
        <f t="shared" si="9"/>
        <v>7.964221610667046</v>
      </c>
      <c r="T30" s="33">
        <f t="shared" si="10"/>
        <v>0.48947297367518933</v>
      </c>
      <c r="U30" s="60">
        <f t="shared" si="11"/>
        <v>3.2392216106670455</v>
      </c>
      <c r="V30" s="33">
        <f t="shared" si="7"/>
        <v>0.79235758905980469</v>
      </c>
    </row>
    <row r="31" spans="1:28">
      <c r="A31" s="26">
        <v>41389</v>
      </c>
      <c r="B31" s="27">
        <v>265</v>
      </c>
      <c r="C31" s="27">
        <f>B31-B30</f>
        <v>10</v>
      </c>
      <c r="D31" s="17">
        <f t="shared" si="0"/>
        <v>1.4716800000000001</v>
      </c>
      <c r="E31" s="27">
        <v>16</v>
      </c>
      <c r="F31" s="28">
        <f t="shared" si="14"/>
        <v>2.8304</v>
      </c>
      <c r="G31" s="17">
        <f t="shared" si="8"/>
        <v>-1.3587199999999999</v>
      </c>
      <c r="H31" s="28"/>
      <c r="I31" s="29">
        <v>6407.8</v>
      </c>
      <c r="J31" s="49">
        <f t="shared" si="13"/>
        <v>7.9140973333312754</v>
      </c>
      <c r="K31" s="17">
        <f t="shared" si="2"/>
        <v>0.49848404843991312</v>
      </c>
      <c r="L31" s="30">
        <v>8</v>
      </c>
      <c r="M31" s="17" t="s">
        <v>27</v>
      </c>
      <c r="N31" s="28">
        <f t="shared" si="3"/>
        <v>-0.86023595156008681</v>
      </c>
      <c r="O31" s="28"/>
      <c r="P31" s="32">
        <f t="shared" si="4"/>
        <v>5.25</v>
      </c>
      <c r="Q31" s="32">
        <f t="shared" si="5"/>
        <v>1.4561939093329546</v>
      </c>
      <c r="R31" s="32">
        <f t="shared" si="6"/>
        <v>-4.2</v>
      </c>
      <c r="S31" s="32">
        <f t="shared" si="9"/>
        <v>6.7061939093329546</v>
      </c>
      <c r="T31" s="33">
        <f t="shared" si="10"/>
        <v>0.57011577504275934</v>
      </c>
      <c r="U31" s="60">
        <f t="shared" si="11"/>
        <v>2.5061939093329544</v>
      </c>
      <c r="V31" s="33">
        <f t="shared" si="7"/>
        <v>0.83934654427352851</v>
      </c>
    </row>
    <row r="32" spans="1:28">
      <c r="A32" s="26">
        <v>41390</v>
      </c>
      <c r="B32" s="27">
        <v>272</v>
      </c>
      <c r="C32" s="27">
        <f>B32-B31</f>
        <v>7</v>
      </c>
      <c r="D32" s="17">
        <f t="shared" si="0"/>
        <v>1.0795050000000002</v>
      </c>
      <c r="E32" s="27">
        <v>18</v>
      </c>
      <c r="F32" s="28">
        <f t="shared" si="14"/>
        <v>3.1842000000000001</v>
      </c>
      <c r="G32" s="17">
        <f t="shared" si="8"/>
        <v>-2.104695</v>
      </c>
      <c r="H32" s="28"/>
      <c r="I32" s="29">
        <v>6408.9</v>
      </c>
      <c r="J32" s="49">
        <f t="shared" si="13"/>
        <v>12.436438666660495</v>
      </c>
      <c r="K32" s="17">
        <f t="shared" si="2"/>
        <v>0.6893720761197395</v>
      </c>
      <c r="L32" s="30">
        <v>7</v>
      </c>
      <c r="M32" s="17" t="s">
        <v>27</v>
      </c>
      <c r="N32" s="28">
        <f t="shared" si="3"/>
        <v>-1.4153229238802605</v>
      </c>
      <c r="O32" s="28"/>
      <c r="P32" s="32">
        <f t="shared" si="4"/>
        <v>3.6750000000000003</v>
      </c>
      <c r="Q32" s="32">
        <f t="shared" si="5"/>
        <v>2.2883047146655309</v>
      </c>
      <c r="R32" s="32">
        <f t="shared" si="6"/>
        <v>-4.7250000000000005</v>
      </c>
      <c r="S32" s="32">
        <f t="shared" si="9"/>
        <v>5.9633047146655311</v>
      </c>
      <c r="T32" s="33">
        <f t="shared" si="10"/>
        <v>0.61773687726503002</v>
      </c>
      <c r="U32" s="60">
        <f t="shared" si="11"/>
        <v>1.2383047146655306</v>
      </c>
      <c r="V32" s="33">
        <f t="shared" si="7"/>
        <v>0.92062149264964555</v>
      </c>
    </row>
    <row r="33" spans="1:28">
      <c r="A33" s="26">
        <v>41391</v>
      </c>
      <c r="B33" s="27">
        <v>284</v>
      </c>
      <c r="C33" s="27">
        <f>B33-B32</f>
        <v>12</v>
      </c>
      <c r="D33" s="17">
        <f t="shared" si="0"/>
        <v>1.7331300000000003</v>
      </c>
      <c r="E33" s="27">
        <v>20</v>
      </c>
      <c r="F33" s="28">
        <f t="shared" si="14"/>
        <v>3.5380000000000003</v>
      </c>
      <c r="G33" s="17">
        <f t="shared" si="8"/>
        <v>-1.80487</v>
      </c>
      <c r="H33" s="28"/>
      <c r="I33" s="29">
        <v>6409.3</v>
      </c>
      <c r="J33" s="49">
        <f t="shared" si="13"/>
        <v>4.5223413333395026</v>
      </c>
      <c r="K33" s="17">
        <f t="shared" si="2"/>
        <v>0.35531802768026044</v>
      </c>
      <c r="L33" s="30">
        <v>7</v>
      </c>
      <c r="M33" s="17" t="s">
        <v>27</v>
      </c>
      <c r="N33" s="28">
        <f t="shared" si="3"/>
        <v>-1.4495519723197394</v>
      </c>
      <c r="O33" s="28"/>
      <c r="P33" s="32">
        <f t="shared" si="4"/>
        <v>6.3000000000000007</v>
      </c>
      <c r="Q33" s="32">
        <f t="shared" ref="Q33:Q35" si="15">J33*$R$4</f>
        <v>0.83211080533446846</v>
      </c>
      <c r="R33" s="32">
        <f t="shared" ref="R33:R35" si="16">-E33*$R$3/2</f>
        <v>-5.25</v>
      </c>
      <c r="S33" s="32">
        <f t="shared" ref="S33:S35" si="17">P33+Q33</f>
        <v>7.1321108053344693</v>
      </c>
      <c r="T33" s="33">
        <f t="shared" ref="T33:T36" si="18">($L$4-S33)/$L$4</f>
        <v>0.54281340991445715</v>
      </c>
      <c r="U33" s="60">
        <f t="shared" ref="U33:U36" si="19">P33+Q33+R33</f>
        <v>1.8821108053344693</v>
      </c>
      <c r="V33" s="33">
        <f>($L$4-U33)/$L$4</f>
        <v>0.87935187145291871</v>
      </c>
    </row>
    <row r="34" spans="1:28">
      <c r="A34" s="26">
        <v>41392</v>
      </c>
      <c r="B34" s="27">
        <v>295</v>
      </c>
      <c r="C34" s="27">
        <f t="shared" ref="C34:C36" si="20">B34-B33</f>
        <v>11</v>
      </c>
      <c r="D34" s="17">
        <f t="shared" si="0"/>
        <v>1.6024050000000001</v>
      </c>
      <c r="E34" s="27">
        <v>14</v>
      </c>
      <c r="F34" s="28">
        <f t="shared" si="14"/>
        <v>2.4765999999999999</v>
      </c>
      <c r="G34" s="17">
        <f t="shared" si="8"/>
        <v>-0.87419499999999983</v>
      </c>
      <c r="H34" s="28"/>
      <c r="I34" s="29">
        <v>6410</v>
      </c>
      <c r="J34" s="49">
        <f t="shared" si="13"/>
        <v>7.9140973333312754</v>
      </c>
      <c r="K34" s="17">
        <f t="shared" si="2"/>
        <v>0.49848404843991312</v>
      </c>
      <c r="L34" s="30">
        <v>8</v>
      </c>
      <c r="M34" s="17" t="s">
        <v>27</v>
      </c>
      <c r="N34" s="28">
        <f t="shared" si="3"/>
        <v>-0.37571095156008671</v>
      </c>
      <c r="O34" s="28"/>
      <c r="P34" s="32">
        <f t="shared" si="4"/>
        <v>5.7750000000000004</v>
      </c>
      <c r="Q34" s="32">
        <f t="shared" si="15"/>
        <v>1.4561939093329546</v>
      </c>
      <c r="R34" s="66">
        <f t="shared" si="16"/>
        <v>-3.6750000000000003</v>
      </c>
      <c r="S34" s="32">
        <f t="shared" si="17"/>
        <v>7.2311939093329549</v>
      </c>
      <c r="T34" s="33">
        <f t="shared" si="18"/>
        <v>0.53646192888891309</v>
      </c>
      <c r="U34" s="60">
        <f t="shared" si="19"/>
        <v>3.5561939093329547</v>
      </c>
      <c r="V34" s="33">
        <f>($L$4-U34)/$L$4</f>
        <v>0.77203885196583621</v>
      </c>
    </row>
    <row r="35" spans="1:28">
      <c r="A35" s="26">
        <v>41393</v>
      </c>
      <c r="B35" s="27">
        <v>303</v>
      </c>
      <c r="C35" s="27">
        <f t="shared" si="20"/>
        <v>8</v>
      </c>
      <c r="D35" s="17">
        <f t="shared" si="0"/>
        <v>1.2102300000000001</v>
      </c>
      <c r="E35" s="27">
        <v>22</v>
      </c>
      <c r="F35" s="28">
        <f t="shared" si="14"/>
        <v>3.8917999999999999</v>
      </c>
      <c r="G35" s="17">
        <f t="shared" si="8"/>
        <v>-2.6815699999999998</v>
      </c>
      <c r="H35" s="28"/>
      <c r="I35" s="29">
        <v>6411</v>
      </c>
      <c r="J35" s="49">
        <f t="shared" si="13"/>
        <v>11.305853333333332</v>
      </c>
      <c r="K35" s="17">
        <f t="shared" si="2"/>
        <v>0.64165006920000001</v>
      </c>
      <c r="L35" s="30">
        <v>9</v>
      </c>
      <c r="M35" s="17" t="s">
        <v>27</v>
      </c>
      <c r="N35" s="28">
        <f t="shared" si="3"/>
        <v>-2.0399199308</v>
      </c>
      <c r="P35" s="32">
        <f t="shared" si="4"/>
        <v>4.2</v>
      </c>
      <c r="Q35" s="32">
        <f t="shared" si="15"/>
        <v>2.0802770133333328</v>
      </c>
      <c r="R35" s="32">
        <f t="shared" si="16"/>
        <v>-5.7750000000000004</v>
      </c>
      <c r="S35" s="32">
        <f t="shared" si="17"/>
        <v>6.2802770133333325</v>
      </c>
      <c r="T35" s="33">
        <f t="shared" si="18"/>
        <v>0.59741814017094019</v>
      </c>
      <c r="U35" s="60">
        <f t="shared" si="19"/>
        <v>0.50527701333333219</v>
      </c>
      <c r="V35" s="33">
        <f>($L$4-U35)/$L$4</f>
        <v>0.9676104478632479</v>
      </c>
    </row>
    <row r="36" spans="1:28">
      <c r="A36" s="26">
        <v>41394</v>
      </c>
      <c r="B36" s="27">
        <v>313</v>
      </c>
      <c r="C36" s="27">
        <f t="shared" si="20"/>
        <v>10</v>
      </c>
      <c r="D36" s="17">
        <f t="shared" si="0"/>
        <v>1.4716800000000001</v>
      </c>
      <c r="E36" s="27">
        <v>27</v>
      </c>
      <c r="F36" s="28">
        <f t="shared" si="14"/>
        <v>4.7763</v>
      </c>
      <c r="G36" s="17">
        <f t="shared" si="8"/>
        <v>-3.3046199999999999</v>
      </c>
      <c r="H36" s="28"/>
      <c r="I36" s="29">
        <v>6411.4</v>
      </c>
      <c r="J36" s="49">
        <f t="shared" si="13"/>
        <v>4.5223413333292193</v>
      </c>
      <c r="K36" s="17">
        <f t="shared" si="2"/>
        <v>0.35531802767982634</v>
      </c>
      <c r="L36" s="30">
        <v>7</v>
      </c>
      <c r="M36" s="17" t="s">
        <v>27</v>
      </c>
      <c r="N36" s="28">
        <f t="shared" si="3"/>
        <v>-2.9493019723201734</v>
      </c>
      <c r="O36" s="28"/>
      <c r="P36" s="32">
        <f t="shared" ref="P36" si="21">C36*$R$3</f>
        <v>5.25</v>
      </c>
      <c r="Q36" s="32">
        <f t="shared" ref="Q36" si="22">J36*$R$4</f>
        <v>0.83211080533257631</v>
      </c>
      <c r="R36" s="32">
        <f t="shared" ref="R36" si="23">-E36*$R$3/2</f>
        <v>-7.0875000000000004</v>
      </c>
      <c r="S36" s="32">
        <f t="shared" ref="S36" si="24">P36+Q36</f>
        <v>6.0821108053325759</v>
      </c>
      <c r="T36" s="33">
        <f t="shared" si="18"/>
        <v>0.61012110222227078</v>
      </c>
      <c r="U36" s="60">
        <f t="shared" si="19"/>
        <v>-1.0053891946674245</v>
      </c>
      <c r="V36" s="33">
        <f>($L$4-U36)/$L$4</f>
        <v>1.0644480252991939</v>
      </c>
    </row>
    <row r="37" spans="1:28">
      <c r="A37" s="26" t="s">
        <v>21</v>
      </c>
      <c r="B37" s="27"/>
      <c r="C37" s="27"/>
      <c r="D37" s="28"/>
      <c r="E37" s="27"/>
      <c r="F37" s="28"/>
      <c r="G37" s="28"/>
      <c r="H37" s="28"/>
      <c r="I37" s="29"/>
      <c r="J37" s="30"/>
      <c r="K37" s="31"/>
      <c r="L37" s="27"/>
      <c r="M37" s="17"/>
      <c r="N37" s="28"/>
      <c r="O37" s="28"/>
      <c r="P37" s="17"/>
      <c r="Q37" s="17"/>
      <c r="R37" s="17"/>
      <c r="S37" s="17"/>
      <c r="T37" s="17"/>
      <c r="U37" s="17"/>
      <c r="V37" s="17"/>
    </row>
    <row r="39" spans="1:28" s="1" customFormat="1">
      <c r="A39" s="1" t="s">
        <v>7</v>
      </c>
      <c r="C39" s="54">
        <f>SUM(C7:C37)</f>
        <v>313</v>
      </c>
      <c r="D39" s="55">
        <f>SUM(D7:D37)</f>
        <v>45.849825000000003</v>
      </c>
      <c r="E39" s="56">
        <f>SUM(E7:E37)</f>
        <v>459</v>
      </c>
      <c r="F39" s="55">
        <f>SUM(F7:F37)</f>
        <v>81.197100000000006</v>
      </c>
      <c r="G39" s="55">
        <f>SUM(G7:G37)</f>
        <v>-35.347275000000003</v>
      </c>
      <c r="H39" s="54"/>
      <c r="I39" s="57"/>
      <c r="J39" s="56">
        <f>SUM(J7:J37)</f>
        <v>641.33085093332807</v>
      </c>
      <c r="K39" s="55">
        <f>SUM(K7:K37)</f>
        <v>32.00347521789579</v>
      </c>
      <c r="L39" s="54"/>
      <c r="M39" t="s">
        <v>26</v>
      </c>
      <c r="N39" s="55">
        <f>SUM(N7:N37)</f>
        <v>-3.3437997821042034</v>
      </c>
      <c r="O39" s="55"/>
      <c r="P39" s="43">
        <f>SUM(P7:P37)</f>
        <v>164.32500000000005</v>
      </c>
      <c r="Q39" s="43">
        <f>SUM(Q7:Q37)</f>
        <v>118.00487657173238</v>
      </c>
      <c r="R39" s="43">
        <f>SUM(R7:R37)</f>
        <v>-120.4875</v>
      </c>
      <c r="S39" s="43">
        <f>SUM(S7:S37)</f>
        <v>282.32987657173248</v>
      </c>
      <c r="T39" s="43"/>
      <c r="U39" s="43">
        <f>SUM(U7:U37)</f>
        <v>161.84237657173244</v>
      </c>
      <c r="V39" s="55"/>
    </row>
    <row r="40" spans="1:28">
      <c r="A40" t="s">
        <v>24</v>
      </c>
      <c r="C40" s="53">
        <f>AVERAGE(C7:C37)</f>
        <v>10.433333333333334</v>
      </c>
      <c r="D40" s="8">
        <f>AVERAGE(D7:D37)</f>
        <v>1.5283275000000001</v>
      </c>
      <c r="E40" s="53">
        <f>AVERAGE(E7:E37)</f>
        <v>15.3</v>
      </c>
      <c r="F40" s="7">
        <f>AVERAGE(F7:F37)</f>
        <v>2.7065700000000001</v>
      </c>
      <c r="G40" s="7">
        <f>AVERAGE(G7:G37)</f>
        <v>-1.1782425000000001</v>
      </c>
      <c r="H40" s="53"/>
      <c r="I40" s="53"/>
      <c r="J40" s="53">
        <f>AVERAGE(J7:J37)</f>
        <v>21.377695031110935</v>
      </c>
      <c r="K40" s="8">
        <f>AVERAGE(K7:K37)</f>
        <v>1.0667825072631929</v>
      </c>
      <c r="L40" s="53">
        <f>AVERAGE(L7:L37)</f>
        <v>6.6333333333333337</v>
      </c>
      <c r="M40" s="7" t="s">
        <v>26</v>
      </c>
      <c r="N40" s="18">
        <f>AVERAGE(N7:N37)</f>
        <v>-0.11145999273680678</v>
      </c>
      <c r="O40" s="18"/>
      <c r="P40" s="34">
        <f t="shared" ref="P40:V40" si="25">AVERAGE(P7:P37)</f>
        <v>5.4775000000000018</v>
      </c>
      <c r="Q40" s="34">
        <f t="shared" si="25"/>
        <v>3.9334958857244127</v>
      </c>
      <c r="R40" s="34">
        <f t="shared" si="25"/>
        <v>-4.0162500000000003</v>
      </c>
      <c r="S40" s="34">
        <f t="shared" si="25"/>
        <v>9.4109958857244163</v>
      </c>
      <c r="T40" s="41">
        <f t="shared" si="25"/>
        <v>0.39673103296638368</v>
      </c>
      <c r="U40" s="53">
        <f t="shared" si="25"/>
        <v>5.394745885724415</v>
      </c>
      <c r="V40" s="41">
        <f t="shared" si="25"/>
        <v>0.65418295604330678</v>
      </c>
    </row>
    <row r="41" spans="1:28">
      <c r="C41" s="53"/>
      <c r="D41" s="8"/>
      <c r="E41" s="53"/>
      <c r="F41" s="7"/>
      <c r="G41" s="7"/>
      <c r="H41" s="53"/>
      <c r="I41" s="53"/>
      <c r="J41" s="53"/>
      <c r="K41" s="8"/>
      <c r="L41" s="53"/>
      <c r="M41" s="7"/>
      <c r="N41" s="18"/>
      <c r="O41" s="18"/>
      <c r="P41" s="34"/>
      <c r="Q41" s="34"/>
      <c r="R41" s="34"/>
      <c r="S41" s="34"/>
      <c r="T41" s="41"/>
      <c r="U41" s="53"/>
      <c r="V41" s="41"/>
    </row>
    <row r="42" spans="1:28">
      <c r="A42" s="64" t="s">
        <v>84</v>
      </c>
      <c r="B42" s="28"/>
      <c r="C42" s="65">
        <f>AVERAGE(C24:C36)</f>
        <v>10.384615384615385</v>
      </c>
      <c r="D42" s="28">
        <f>AVERAGE(D24:D36)</f>
        <v>1.5219588461538462</v>
      </c>
      <c r="E42" s="65">
        <f>AVERAGE(E24:E36)</f>
        <v>17.846153846153847</v>
      </c>
      <c r="F42" s="28">
        <f>AVERAGE(F24:F36)</f>
        <v>3.1569846153846153</v>
      </c>
      <c r="G42" s="28">
        <f>AVERAGE(G24:G36)</f>
        <v>-1.635025769230769</v>
      </c>
      <c r="H42" s="28"/>
      <c r="I42" s="28"/>
      <c r="J42" s="65">
        <f>AVERAGE(J24:J36)</f>
        <v>8.0010654358972761</v>
      </c>
      <c r="K42" s="28">
        <f>AVERAGE(K24:K36)</f>
        <v>0.50215497204922399</v>
      </c>
      <c r="L42" s="63">
        <f>AVERAGE(L24:L36)</f>
        <v>8.2307692307692299</v>
      </c>
      <c r="M42" s="17" t="s">
        <v>27</v>
      </c>
      <c r="N42" s="28">
        <f>AVERAGE(N24:N36)</f>
        <v>-1.1328707971815448</v>
      </c>
      <c r="O42" s="28"/>
      <c r="P42" s="63">
        <f t="shared" ref="P42:V42" si="26">AVERAGE(P24:P36)</f>
        <v>5.4519230769230758</v>
      </c>
      <c r="Q42" s="63">
        <f t="shared" si="26"/>
        <v>1.4721960402050986</v>
      </c>
      <c r="R42" s="63">
        <f t="shared" si="26"/>
        <v>-4.6846153846153848</v>
      </c>
      <c r="S42" s="63">
        <f t="shared" si="26"/>
        <v>6.9241191171281757</v>
      </c>
      <c r="T42" s="61">
        <f t="shared" si="26"/>
        <v>0.55614621044050161</v>
      </c>
      <c r="U42" s="62">
        <f t="shared" si="26"/>
        <v>2.2395037325127913</v>
      </c>
      <c r="V42" s="61">
        <f t="shared" si="26"/>
        <v>0.85644206842866721</v>
      </c>
    </row>
    <row r="43" spans="1:28">
      <c r="E43" s="21"/>
      <c r="N43" s="18"/>
      <c r="O43" s="18"/>
    </row>
    <row r="44" spans="1:28">
      <c r="A44" t="s">
        <v>82</v>
      </c>
      <c r="I44" s="5"/>
      <c r="L44" s="5">
        <f>((11.1*B4)+L3) + ((6*H4*E4)+L3)</f>
        <v>4.6432279151999998</v>
      </c>
      <c r="M44" s="19"/>
      <c r="N44" s="2" t="s">
        <v>83</v>
      </c>
      <c r="O44" s="18"/>
      <c r="P44" s="19"/>
      <c r="Q44" s="19"/>
      <c r="R44" s="19"/>
      <c r="S44" s="19"/>
      <c r="T44" s="19"/>
      <c r="U44" s="19"/>
      <c r="V44" s="19"/>
      <c r="X44" s="19"/>
      <c r="Y44" s="19"/>
      <c r="Z44" s="20"/>
      <c r="AA44" s="20"/>
      <c r="AB44" s="20"/>
    </row>
    <row r="45" spans="1:28">
      <c r="I45" s="5"/>
      <c r="M45" s="19"/>
      <c r="N45" s="18"/>
      <c r="O45" s="18"/>
      <c r="P45" s="19"/>
      <c r="Q45" s="19"/>
      <c r="R45" s="19"/>
      <c r="S45" s="19"/>
      <c r="T45" s="19"/>
      <c r="U45" s="19"/>
      <c r="V45" s="19"/>
      <c r="X45" s="19"/>
      <c r="Y45" s="19"/>
      <c r="Z45" s="20"/>
      <c r="AA45" s="20"/>
      <c r="AB45" s="20"/>
    </row>
    <row r="46" spans="1:28">
      <c r="A46" s="1" t="s">
        <v>18</v>
      </c>
    </row>
    <row r="47" spans="1:28">
      <c r="A47" t="s">
        <v>16</v>
      </c>
      <c r="F47" t="s">
        <v>23</v>
      </c>
      <c r="M47" s="5" t="s">
        <v>60</v>
      </c>
    </row>
    <row r="48" spans="1:28">
      <c r="A48" t="s">
        <v>17</v>
      </c>
      <c r="F48" t="s">
        <v>61</v>
      </c>
      <c r="M48" t="s">
        <v>62</v>
      </c>
    </row>
    <row r="49" spans="1:13">
      <c r="A49" t="s">
        <v>63</v>
      </c>
      <c r="F49" t="s">
        <v>64</v>
      </c>
      <c r="M49" t="s">
        <v>65</v>
      </c>
    </row>
    <row r="50" spans="1:13">
      <c r="A50" t="s">
        <v>66</v>
      </c>
      <c r="F50" t="s">
        <v>68</v>
      </c>
      <c r="M50" t="s">
        <v>67</v>
      </c>
    </row>
    <row r="51" spans="1:13">
      <c r="A51" t="s">
        <v>70</v>
      </c>
      <c r="F51" t="s">
        <v>71</v>
      </c>
      <c r="M51" t="s">
        <v>79</v>
      </c>
    </row>
    <row r="52" spans="1:13">
      <c r="A52" t="s">
        <v>69</v>
      </c>
      <c r="F52" t="s">
        <v>72</v>
      </c>
      <c r="M52" t="s">
        <v>80</v>
      </c>
    </row>
    <row r="54" spans="1:13">
      <c r="A54" t="s">
        <v>73</v>
      </c>
    </row>
    <row r="55" spans="1:13">
      <c r="A55" t="s">
        <v>74</v>
      </c>
    </row>
    <row r="56" spans="1:13">
      <c r="A56" t="s">
        <v>75</v>
      </c>
    </row>
  </sheetData>
  <pageMargins left="0.49" right="0.55000000000000004" top="0.54" bottom="0.42" header="0.31496062992125984" footer="0.31496062992125984"/>
  <pageSetup paperSize="9" scale="53" orientation="landscape" r:id="rId1"/>
  <ignoredErrors>
    <ignoredError sqref="U7:U36" formula="1"/>
    <ignoredError sqref="L42 E4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Alastair McIntosh</dc:creator>
  <cp:lastModifiedBy> Alastair McIntosh</cp:lastModifiedBy>
  <cp:lastPrinted>2013-05-01T07:44:59Z</cp:lastPrinted>
  <dcterms:created xsi:type="dcterms:W3CDTF">2013-04-18T08:48:37Z</dcterms:created>
  <dcterms:modified xsi:type="dcterms:W3CDTF">2013-09-18T11:07:31Z</dcterms:modified>
</cp:coreProperties>
</file>